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0" yWindow="-30" windowWidth="19320" windowHeight="15600" activeTab="5"/>
  </bookViews>
  <sheets>
    <sheet name="Cover" sheetId="8" r:id="rId1"/>
    <sheet name="Board" sheetId="38" r:id="rId2"/>
    <sheet name="Schematic" sheetId="39" r:id="rId3"/>
    <sheet name="BOM" sheetId="36" r:id="rId4"/>
    <sheet name="JFET Matching" sheetId="43" r:id="rId5"/>
    <sheet name="Notes" sheetId="37" r:id="rId6"/>
  </sheets>
  <definedNames>
    <definedName name="_xlnm.Print_Area" localSheetId="3">BOM!$B$5:$H$19</definedName>
  </definedNames>
  <calcPr calcId="152511"/>
</workbook>
</file>

<file path=xl/calcChain.xml><?xml version="1.0" encoding="utf-8"?>
<calcChain xmlns="http://schemas.openxmlformats.org/spreadsheetml/2006/main">
  <c r="C44" i="43" l="1"/>
  <c r="G7" i="36"/>
  <c r="G8" i="36"/>
  <c r="G9" i="36"/>
  <c r="G10" i="36"/>
  <c r="G11" i="36"/>
  <c r="G12" i="36"/>
  <c r="G13" i="36"/>
  <c r="G14" i="36"/>
  <c r="G15" i="36"/>
  <c r="G16" i="36"/>
  <c r="G17" i="36"/>
  <c r="G18" i="36"/>
  <c r="G19" i="36"/>
  <c r="G20" i="36"/>
  <c r="E44" i="43" l="1"/>
  <c r="E39" i="43" l="1"/>
  <c r="C39" i="43"/>
  <c r="E38" i="43"/>
  <c r="C38" i="43"/>
  <c r="D48" i="43" l="1"/>
  <c r="D70" i="43"/>
  <c r="D71" i="43" s="1"/>
  <c r="D54" i="43"/>
  <c r="D49" i="43" l="1"/>
  <c r="D39" i="43"/>
  <c r="G5" i="36" l="1"/>
  <c r="G6" i="36" l="1"/>
  <c r="D60" i="43"/>
  <c r="D56" i="43"/>
  <c r="D58" i="43" s="1"/>
  <c r="D59" i="43" l="1"/>
  <c r="D62" i="43" s="1"/>
  <c r="D63" i="43" l="1"/>
  <c r="D65" i="43" s="1"/>
  <c r="D84" i="43" s="1"/>
  <c r="D42" i="43" s="1"/>
  <c r="D68" i="43"/>
  <c r="D73" i="43" l="1"/>
  <c r="D38" i="43" s="1"/>
  <c r="D81" i="43"/>
  <c r="D77" i="43"/>
  <c r="D75" i="43"/>
  <c r="D76" i="43" l="1"/>
  <c r="D78" i="43" l="1"/>
  <c r="G76" i="43"/>
  <c r="D79" i="43"/>
  <c r="D44" i="43" s="1"/>
  <c r="G77" i="43" l="1"/>
</calcChain>
</file>

<file path=xl/sharedStrings.xml><?xml version="1.0" encoding="utf-8"?>
<sst xmlns="http://schemas.openxmlformats.org/spreadsheetml/2006/main" count="182" uniqueCount="136">
  <si>
    <t xml:space="preserve"> </t>
  </si>
  <si>
    <t>Part</t>
  </si>
  <si>
    <t>Value</t>
  </si>
  <si>
    <t>Mouser part no.</t>
    <phoneticPr fontId="2"/>
  </si>
  <si>
    <t>Description</t>
    <phoneticPr fontId="2"/>
  </si>
  <si>
    <t>Qty.</t>
  </si>
  <si>
    <t>Import Mouser BOM</t>
    <phoneticPr fontId="2"/>
  </si>
  <si>
    <t>Notes</t>
    <phoneticPr fontId="2"/>
  </si>
  <si>
    <t>(2 channels)</t>
  </si>
  <si>
    <t>KOA Speer</t>
  </si>
  <si>
    <t>1% 0.25W metal film</t>
  </si>
  <si>
    <t>47.5k</t>
  </si>
  <si>
    <t>Fairchild</t>
  </si>
  <si>
    <t>R6</t>
  </si>
  <si>
    <t>R7</t>
  </si>
  <si>
    <t>Q1-4</t>
  </si>
  <si>
    <t>33nF</t>
  </si>
  <si>
    <t>2.2uF</t>
  </si>
  <si>
    <t>3.32k</t>
  </si>
  <si>
    <t>660-MF1/4DC3321F</t>
  </si>
  <si>
    <t>505-FKP20.033/63/2.5</t>
  </si>
  <si>
    <t>Wima MKP2</t>
  </si>
  <si>
    <t>2.5% polypro film (or Vishay/BC BFC241713303)</t>
  </si>
  <si>
    <t>V</t>
  </si>
  <si>
    <t>mA</t>
  </si>
  <si>
    <t>I_dss</t>
  </si>
  <si>
    <t>Vdrain (V_d)</t>
  </si>
  <si>
    <t>R_drain</t>
  </si>
  <si>
    <t>ohms</t>
  </si>
  <si>
    <t>R_source</t>
  </si>
  <si>
    <t>R_follower</t>
  </si>
  <si>
    <t>t_RC</t>
  </si>
  <si>
    <t>s</t>
  </si>
  <si>
    <t>C_bypass</t>
  </si>
  <si>
    <t>uF</t>
  </si>
  <si>
    <t>g_m</t>
  </si>
  <si>
    <t>mS</t>
  </si>
  <si>
    <t>dB</t>
  </si>
  <si>
    <t>V_gs</t>
  </si>
  <si>
    <t>I_ds</t>
  </si>
  <si>
    <t>beta</t>
  </si>
  <si>
    <t>For connectivity reference only. The correct parts values are given in the BOM.</t>
  </si>
  <si>
    <t>-V_gs0</t>
  </si>
  <si>
    <t>a</t>
  </si>
  <si>
    <t>b</t>
  </si>
  <si>
    <t>c</t>
  </si>
  <si>
    <t>J113</t>
  </si>
  <si>
    <t>R_1</t>
  </si>
  <si>
    <t>R_2</t>
  </si>
  <si>
    <t>V_1</t>
  </si>
  <si>
    <t>V_2</t>
  </si>
  <si>
    <t>&lt;-- measured voltage across R_1</t>
  </si>
  <si>
    <t>&lt;-- measured voltage across R_2</t>
  </si>
  <si>
    <t>mA/V^2</t>
  </si>
  <si>
    <t>Vsupply</t>
  </si>
  <si>
    <t>&lt;-- transconductance</t>
  </si>
  <si>
    <t>I_ds (follower)</t>
  </si>
  <si>
    <t xml:space="preserve">&lt;-- operating point gate-source voltage </t>
  </si>
  <si>
    <t>&lt;-- the source resistance</t>
  </si>
  <si>
    <t>&lt;-- adjust to keep I_ds (follower) around 3 mA</t>
  </si>
  <si>
    <t>kohms</t>
  </si>
  <si>
    <t>&lt;-- MM configuration gain</t>
  </si>
  <si>
    <t>circuit current draw (inc. shunt)</t>
  </si>
  <si>
    <t>&lt;-- the desired voltage at the jfet drain pin, 10 V optimal</t>
  </si>
  <si>
    <t>R_drain (calculated)</t>
  </si>
  <si>
    <t>A</t>
  </si>
  <si>
    <t>0.1uF</t>
  </si>
  <si>
    <t>667-ECW-F2225JA</t>
  </si>
  <si>
    <t>667-ECW-F2104JAQ</t>
  </si>
  <si>
    <t>Panasonic WFA</t>
  </si>
  <si>
    <t>or use audio grade film caps of your choice (max 25.4mm lead spacing)</t>
  </si>
  <si>
    <t>or use audio grade film caps of your choice (max 52mm lead spacing)</t>
  </si>
  <si>
    <t>or Vishay MPK1839 75-MKP1839410163</t>
  </si>
  <si>
    <t>or Kemet 80-C4GAFUC4220AA0J</t>
  </si>
  <si>
    <t>28.7k</t>
  </si>
  <si>
    <t>660-MF1/4DC2872F</t>
  </si>
  <si>
    <t>660-MF1/4DC2213F</t>
  </si>
  <si>
    <t>221k</t>
  </si>
  <si>
    <t>660-MF1/4DC4752F</t>
  </si>
  <si>
    <t>&lt;-- operating point drain-source current</t>
  </si>
  <si>
    <t>R_source (bypassed)</t>
  </si>
  <si>
    <t>R_source (bypass switched)</t>
  </si>
  <si>
    <t>h_eo</t>
  </si>
  <si>
    <t>&lt;- estimated drain slope characteristic</t>
  </si>
  <si>
    <t>&lt;- open loop gain</t>
  </si>
  <si>
    <t>&lt;- feedback</t>
  </si>
  <si>
    <t>&lt;-- calculated resistance</t>
  </si>
  <si>
    <t>R_drain, effective</t>
  </si>
  <si>
    <t>512-J113</t>
  </si>
  <si>
    <t>TO-92 n-channel DSG jfet (also available Digikey J113FS-ND, ebay and elsewhere)</t>
  </si>
  <si>
    <t>R13</t>
  </si>
  <si>
    <t>R8</t>
  </si>
  <si>
    <t>R5,12</t>
  </si>
  <si>
    <t>R2,9</t>
  </si>
  <si>
    <t>R3, R10</t>
  </si>
  <si>
    <t>R4, R11</t>
  </si>
  <si>
    <t>R3+4,10+11</t>
  </si>
  <si>
    <t>&lt;-- match JFETs to this transconductance value</t>
  </si>
  <si>
    <t>&lt;-- match JFETs to this nominal pinch off voltage</t>
  </si>
  <si>
    <t>calculations</t>
  </si>
  <si>
    <t>CrystalFET Boards</t>
  </si>
  <si>
    <t>R1*</t>
  </si>
  <si>
    <t>* add cartridge loading components as needed in parallel with R1.</t>
  </si>
  <si>
    <t>&lt;-- the pinch off voltage</t>
  </si>
  <si>
    <t>&lt;-- the saturation drain current</t>
  </si>
  <si>
    <t>C1,2</t>
  </si>
  <si>
    <t>C5-8</t>
  </si>
  <si>
    <t>R4,11</t>
  </si>
  <si>
    <t>R3,10</t>
  </si>
  <si>
    <t>100R</t>
  </si>
  <si>
    <t>221R</t>
  </si>
  <si>
    <t>C3,4</t>
  </si>
  <si>
    <t>C9</t>
  </si>
  <si>
    <t>C10</t>
  </si>
  <si>
    <t>10k</t>
  </si>
  <si>
    <t>1% 0.5W metal film</t>
  </si>
  <si>
    <t>660-MF1/4DC1000F</t>
  </si>
  <si>
    <t>660-MF1/4DC2210F</t>
  </si>
  <si>
    <t>71-CMF5510K000FKEK</t>
  </si>
  <si>
    <t>Vishay / Dale</t>
  </si>
  <si>
    <t>647-UFG1J102MHM</t>
  </si>
  <si>
    <t>1000uF/63V</t>
  </si>
  <si>
    <t>Nichicon FG</t>
  </si>
  <si>
    <t>647-UFG1C471MPM</t>
  </si>
  <si>
    <t>or Nichicon KW,FW, any 16mm or 18mm dia. 7.5mm lead spacing</t>
  </si>
  <si>
    <t>or Nichicon KW,FW any 10mm dia. 5mm lead spacing</t>
  </si>
  <si>
    <t>circuit gain</t>
  </si>
  <si>
    <t>&lt;-- the power supply voltage V+, 35 V</t>
  </si>
  <si>
    <t>&lt;-- should be about 36-40 dB</t>
  </si>
  <si>
    <t>&lt;-- actual resistance needs to be close to this value</t>
  </si>
  <si>
    <t>&lt;-- actual resistor used in test circuit, about the same as CrystalFET (R3+R4)*1.5</t>
  </si>
  <si>
    <t>&lt;-- actual resistor used in test circuit, about the same as CrystalFET (R3+R4)*0.5</t>
  </si>
  <si>
    <t>single stage gain</t>
  </si>
  <si>
    <t>470uF/16V</t>
  </si>
  <si>
    <t>capacitance value not critical, 470-2200 uF range</t>
  </si>
  <si>
    <t>does not need to be 0.5W, board allows larger resistor package if preferred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</si>
</sst>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
      <b/>
      <sz val="11"/>
      <color theme="1"/>
      <name val="Calibri"/>
      <family val="2"/>
      <scheme val="minor"/>
    </font>
    <font>
      <b/>
      <sz val="11"/>
      <name val="Calibri"/>
      <family val="2"/>
      <scheme val="minor"/>
    </font>
    <font>
      <sz val="11"/>
      <name val="Calibri"/>
      <family val="2"/>
      <scheme val="minor"/>
    </font>
    <font>
      <sz val="10"/>
      <color theme="4"/>
      <name val="Calibri"/>
      <family val="2"/>
      <scheme val="minor"/>
    </font>
    <font>
      <sz val="11"/>
      <color theme="0" tint="-0.499984740745262"/>
      <name val="Calibri"/>
      <family val="2"/>
      <scheme val="minor"/>
    </font>
    <font>
      <sz val="11"/>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21">
    <border>
      <left/>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2">
    <xf numFmtId="0" fontId="0" fillId="0" borderId="0"/>
    <xf numFmtId="0" fontId="5" fillId="0" borderId="0"/>
  </cellStyleXfs>
  <cellXfs count="93">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1" fillId="0" borderId="0" xfId="0" quotePrefix="1" applyFont="1" applyFill="1" applyBorder="1" applyAlignment="1">
      <alignment horizontal="center"/>
    </xf>
    <xf numFmtId="0" fontId="1" fillId="0" borderId="0" xfId="0" applyFont="1" applyFill="1" applyAlignment="1"/>
    <xf numFmtId="0" fontId="1" fillId="0" borderId="0" xfId="0" applyFont="1" applyFill="1" applyBorder="1" applyAlignment="1">
      <alignment horizontal="center" wrapText="1"/>
    </xf>
    <xf numFmtId="0" fontId="4" fillId="0" borderId="0" xfId="0" applyFont="1" applyFill="1" applyBorder="1" applyAlignment="1">
      <alignment horizontal="left" wrapText="1"/>
    </xf>
    <xf numFmtId="0" fontId="6" fillId="0" borderId="0" xfId="0" applyFont="1" applyFill="1" applyBorder="1" applyAlignment="1">
      <alignment horizontal="left"/>
    </xf>
    <xf numFmtId="0" fontId="1" fillId="0" borderId="0" xfId="0" applyFont="1" applyFill="1" applyBorder="1"/>
    <xf numFmtId="0" fontId="6" fillId="0" borderId="0" xfId="0" applyFont="1" applyFill="1"/>
    <xf numFmtId="0" fontId="6" fillId="0" borderId="0" xfId="0" quotePrefix="1" applyFont="1" applyFill="1" applyBorder="1" applyAlignment="1">
      <alignment horizontal="left"/>
    </xf>
    <xf numFmtId="0" fontId="7" fillId="0" borderId="0" xfId="0" applyFont="1"/>
    <xf numFmtId="0" fontId="0" fillId="0" borderId="0" xfId="0" applyBorder="1"/>
    <xf numFmtId="0" fontId="9" fillId="0" borderId="0" xfId="0" applyFont="1" applyFill="1" applyBorder="1"/>
    <xf numFmtId="0" fontId="9" fillId="3" borderId="0" xfId="0" applyFont="1" applyFill="1" applyBorder="1"/>
    <xf numFmtId="0" fontId="0" fillId="0" borderId="0" xfId="0" applyAlignment="1">
      <alignment horizontal="center"/>
    </xf>
    <xf numFmtId="0" fontId="0" fillId="0" borderId="0" xfId="0" applyBorder="1" applyAlignment="1">
      <alignment horizontal="center"/>
    </xf>
    <xf numFmtId="0" fontId="9" fillId="0" borderId="0" xfId="0" applyFont="1" applyFill="1" applyBorder="1" applyAlignment="1">
      <alignment horizontal="center"/>
    </xf>
    <xf numFmtId="2" fontId="9" fillId="0" borderId="0" xfId="0" applyNumberFormat="1" applyFont="1" applyFill="1" applyBorder="1" applyAlignment="1">
      <alignment horizontal="center"/>
    </xf>
    <xf numFmtId="0" fontId="9" fillId="0" borderId="0" xfId="0" applyNumberFormat="1" applyFont="1" applyFill="1" applyBorder="1"/>
    <xf numFmtId="0" fontId="9" fillId="0" borderId="0" xfId="0" applyNumberFormat="1" applyFont="1" applyFill="1" applyBorder="1" applyAlignment="1">
      <alignment horizontal="center"/>
    </xf>
    <xf numFmtId="0" fontId="8" fillId="0" borderId="0" xfId="0" applyNumberFormat="1" applyFont="1" applyFill="1" applyBorder="1"/>
    <xf numFmtId="0" fontId="7" fillId="2" borderId="0" xfId="0" applyFont="1" applyFill="1"/>
    <xf numFmtId="1" fontId="9" fillId="0" borderId="0" xfId="0" applyNumberFormat="1" applyFont="1" applyFill="1" applyBorder="1"/>
    <xf numFmtId="1" fontId="9" fillId="0" borderId="0" xfId="0" applyNumberFormat="1" applyFont="1" applyFill="1" applyBorder="1" applyAlignment="1">
      <alignment horizontal="center"/>
    </xf>
    <xf numFmtId="0" fontId="0" fillId="0" borderId="0" xfId="0" applyFill="1" applyBorder="1" applyAlignment="1">
      <alignment horizontal="center"/>
    </xf>
    <xf numFmtId="0" fontId="11" fillId="0" borderId="0" xfId="0" applyNumberFormat="1" applyFont="1" applyFill="1" applyBorder="1" applyAlignment="1">
      <alignment horizontal="center"/>
    </xf>
    <xf numFmtId="0" fontId="1" fillId="0" borderId="6" xfId="0" applyFont="1" applyFill="1" applyBorder="1" applyAlignment="1">
      <alignment horizontal="center"/>
    </xf>
    <xf numFmtId="0" fontId="1" fillId="0" borderId="1" xfId="0" applyFont="1" applyFill="1" applyBorder="1" applyAlignment="1">
      <alignment horizontal="center"/>
    </xf>
    <xf numFmtId="0" fontId="1" fillId="2" borderId="1" xfId="0" applyFont="1" applyFill="1" applyBorder="1" applyAlignment="1">
      <alignment horizontal="center"/>
    </xf>
    <xf numFmtId="0" fontId="4" fillId="0" borderId="7" xfId="0" applyFont="1" applyFill="1" applyBorder="1" applyAlignment="1">
      <alignment horizontal="left" wrapText="1"/>
    </xf>
    <xf numFmtId="0" fontId="1" fillId="0" borderId="8" xfId="0" applyFont="1" applyFill="1" applyBorder="1" applyAlignment="1">
      <alignment horizontal="center"/>
    </xf>
    <xf numFmtId="0" fontId="4" fillId="0" borderId="9" xfId="0" applyFont="1" applyFill="1" applyBorder="1" applyAlignment="1">
      <alignment horizontal="left" wrapText="1"/>
    </xf>
    <xf numFmtId="0" fontId="1" fillId="0" borderId="10" xfId="0" applyFont="1" applyFill="1" applyBorder="1" applyAlignment="1">
      <alignment horizontal="center"/>
    </xf>
    <xf numFmtId="0" fontId="1" fillId="0" borderId="11" xfId="0" applyFont="1" applyFill="1" applyBorder="1" applyAlignment="1">
      <alignment horizontal="center"/>
    </xf>
    <xf numFmtId="0" fontId="1" fillId="2" borderId="11" xfId="0" applyFont="1" applyFill="1" applyBorder="1" applyAlignment="1">
      <alignment horizontal="center"/>
    </xf>
    <xf numFmtId="0" fontId="4" fillId="0" borderId="12" xfId="0" applyFont="1" applyFill="1" applyBorder="1" applyAlignment="1">
      <alignment horizontal="left" wrapText="1"/>
    </xf>
    <xf numFmtId="0" fontId="11" fillId="0" borderId="0" xfId="0" applyFont="1" applyFill="1" applyBorder="1"/>
    <xf numFmtId="0" fontId="11" fillId="0" borderId="0" xfId="0" applyFont="1" applyFill="1" applyBorder="1" applyAlignment="1">
      <alignment horizontal="center"/>
    </xf>
    <xf numFmtId="0" fontId="11" fillId="0" borderId="0" xfId="0" applyNumberFormat="1" applyFont="1" applyFill="1" applyBorder="1"/>
    <xf numFmtId="0" fontId="0" fillId="0" borderId="2" xfId="0" applyBorder="1"/>
    <xf numFmtId="0" fontId="1" fillId="0" borderId="0" xfId="0" applyFont="1" applyFill="1" applyAlignment="1">
      <alignment horizontal="center" wrapText="1"/>
    </xf>
    <xf numFmtId="0" fontId="1" fillId="0" borderId="0" xfId="0" applyFont="1" applyFill="1" applyAlignment="1">
      <alignment horizontal="right"/>
    </xf>
    <xf numFmtId="0" fontId="10" fillId="0" borderId="0" xfId="0" applyFont="1" applyFill="1" applyAlignment="1">
      <alignment horizontal="right"/>
    </xf>
    <xf numFmtId="0" fontId="0" fillId="0" borderId="0" xfId="0" applyAlignment="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7" fillId="0" borderId="0" xfId="0" applyFont="1" applyBorder="1"/>
    <xf numFmtId="0" fontId="0" fillId="0" borderId="0" xfId="0" applyFill="1" applyBorder="1"/>
    <xf numFmtId="0" fontId="0" fillId="0" borderId="0" xfId="0" applyFont="1" applyFill="1" applyBorder="1"/>
    <xf numFmtId="1" fontId="0" fillId="0" borderId="0" xfId="0" applyNumberFormat="1" applyFont="1" applyFill="1" applyBorder="1" applyAlignment="1">
      <alignment horizontal="center"/>
    </xf>
    <xf numFmtId="2" fontId="0" fillId="0" borderId="0" xfId="0" applyNumberFormat="1" applyFill="1" applyBorder="1" applyAlignment="1">
      <alignment horizontal="center"/>
    </xf>
    <xf numFmtId="1" fontId="0" fillId="0" borderId="0" xfId="0" applyNumberFormat="1" applyFill="1" applyBorder="1" applyAlignment="1">
      <alignment horizontal="center"/>
    </xf>
    <xf numFmtId="0" fontId="0" fillId="0" borderId="18" xfId="0" applyBorder="1"/>
    <xf numFmtId="0" fontId="9" fillId="0" borderId="2" xfId="0" applyFont="1" applyFill="1" applyBorder="1" applyAlignment="1">
      <alignment horizontal="center"/>
    </xf>
    <xf numFmtId="0" fontId="9" fillId="0" borderId="19" xfId="0" applyFont="1" applyFill="1" applyBorder="1" applyAlignment="1">
      <alignment horizontal="center"/>
    </xf>
    <xf numFmtId="2" fontId="0" fillId="0" borderId="0" xfId="0" applyNumberFormat="1"/>
    <xf numFmtId="0" fontId="0" fillId="0" borderId="14" xfId="0" quotePrefix="1" applyFill="1" applyBorder="1"/>
    <xf numFmtId="0" fontId="0" fillId="0" borderId="14" xfId="0" applyFill="1" applyBorder="1"/>
    <xf numFmtId="1" fontId="9" fillId="0" borderId="4" xfId="0" applyNumberFormat="1" applyFont="1" applyFill="1" applyBorder="1" applyAlignment="1">
      <alignment horizontal="center"/>
    </xf>
    <xf numFmtId="164" fontId="0" fillId="0" borderId="0" xfId="0" applyNumberFormat="1" applyFill="1" applyBorder="1" applyAlignment="1">
      <alignment horizontal="center"/>
    </xf>
    <xf numFmtId="0" fontId="7" fillId="0" borderId="0" xfId="0" applyFont="1" applyFill="1" applyBorder="1" applyAlignment="1">
      <alignment horizontal="center"/>
    </xf>
    <xf numFmtId="0" fontId="8" fillId="0" borderId="0" xfId="0" applyFont="1" applyFill="1" applyBorder="1"/>
    <xf numFmtId="1" fontId="8" fillId="0" borderId="0" xfId="0" applyNumberFormat="1" applyFont="1" applyFill="1" applyBorder="1" applyAlignment="1">
      <alignment horizontal="center"/>
    </xf>
    <xf numFmtId="1" fontId="0" fillId="0" borderId="5" xfId="0" applyNumberFormat="1" applyFont="1" applyFill="1" applyBorder="1" applyAlignment="1">
      <alignment horizontal="center"/>
    </xf>
    <xf numFmtId="1" fontId="0" fillId="0" borderId="2" xfId="0" applyNumberFormat="1" applyFill="1" applyBorder="1"/>
    <xf numFmtId="2" fontId="9" fillId="0" borderId="14" xfId="0" applyNumberFormat="1" applyFont="1" applyFill="1" applyBorder="1" applyAlignment="1">
      <alignment horizontal="center"/>
    </xf>
    <xf numFmtId="2" fontId="0" fillId="0" borderId="2" xfId="0" applyNumberFormat="1" applyFill="1" applyBorder="1" applyAlignment="1">
      <alignment horizontal="center"/>
    </xf>
    <xf numFmtId="0" fontId="8" fillId="2" borderId="0" xfId="0" applyFont="1" applyFill="1" applyAlignment="1">
      <alignment horizontal="left"/>
    </xf>
    <xf numFmtId="164" fontId="8" fillId="2" borderId="0" xfId="0" applyNumberFormat="1" applyFont="1" applyFill="1" applyAlignment="1">
      <alignment horizontal="center"/>
    </xf>
    <xf numFmtId="2" fontId="8" fillId="2" borderId="0" xfId="0" applyNumberFormat="1" applyFont="1" applyFill="1" applyAlignment="1">
      <alignment horizontal="center"/>
    </xf>
    <xf numFmtId="0" fontId="12" fillId="3" borderId="4" xfId="0" applyFont="1" applyFill="1" applyBorder="1" applyAlignment="1">
      <alignment horizontal="center"/>
    </xf>
    <xf numFmtId="1" fontId="9" fillId="3" borderId="3" xfId="0" applyNumberFormat="1" applyFont="1" applyFill="1" applyBorder="1" applyAlignment="1">
      <alignment horizontal="center"/>
    </xf>
    <xf numFmtId="1" fontId="9" fillId="3" borderId="20" xfId="0" applyNumberFormat="1" applyFont="1" applyFill="1" applyBorder="1" applyAlignment="1">
      <alignment horizontal="center"/>
    </xf>
    <xf numFmtId="0" fontId="12" fillId="3" borderId="20" xfId="0" applyFont="1" applyFill="1" applyBorder="1" applyAlignment="1">
      <alignment horizontal="center"/>
    </xf>
    <xf numFmtId="0" fontId="0" fillId="0" borderId="3" xfId="0" applyFill="1" applyBorder="1" applyAlignment="1">
      <alignment horizontal="center"/>
    </xf>
    <xf numFmtId="0" fontId="0" fillId="0" borderId="20" xfId="0" applyFill="1" applyBorder="1" applyAlignment="1">
      <alignment horizontal="center"/>
    </xf>
    <xf numFmtId="1" fontId="9" fillId="0" borderId="20" xfId="0" applyNumberFormat="1" applyFont="1" applyFill="1" applyBorder="1" applyAlignment="1">
      <alignment horizontal="center"/>
    </xf>
    <xf numFmtId="0" fontId="9" fillId="0" borderId="0" xfId="0" applyFont="1" applyFill="1" applyBorder="1" applyAlignment="1">
      <alignment horizontal="left"/>
    </xf>
    <xf numFmtId="2" fontId="7" fillId="2" borderId="0" xfId="0" applyNumberFormat="1" applyFont="1" applyFill="1" applyAlignment="1">
      <alignment horizontal="center"/>
    </xf>
    <xf numFmtId="1" fontId="0" fillId="0" borderId="0" xfId="0" applyNumberFormat="1" applyBorder="1"/>
    <xf numFmtId="0" fontId="1" fillId="0" borderId="0" xfId="0" applyFont="1" applyFill="1" applyBorder="1" applyAlignment="1">
      <alignment horizontal="left"/>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xdr:rowOff>
    </xdr:from>
    <xdr:to>
      <xdr:col>10</xdr:col>
      <xdr:colOff>0</xdr:colOff>
      <xdr:row>21</xdr:row>
      <xdr:rowOff>61914</xdr:rowOff>
    </xdr:to>
    <xdr:sp macro="" textlink="">
      <xdr:nvSpPr>
        <xdr:cNvPr id="2" name="TextBox 1"/>
        <xdr:cNvSpPr txBox="1"/>
      </xdr:nvSpPr>
      <xdr:spPr>
        <a:xfrm>
          <a:off x="647700" y="361951"/>
          <a:ext cx="5829300" cy="35004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CrystalFET</a:t>
          </a:r>
          <a:r>
            <a:rPr kumimoji="1" lang="en-US" altLang="ja-JP" sz="1800" baseline="0"/>
            <a:t> Phono Preamplifier</a:t>
          </a:r>
          <a:endParaRPr kumimoji="1" lang="en-US" altLang="ja-JP" sz="1800"/>
        </a:p>
        <a:p>
          <a:pPr algn="ctr"/>
          <a:endParaRPr kumimoji="1" lang="en-US" altLang="ja-JP" sz="1100"/>
        </a:p>
        <a:p>
          <a:pPr algn="ctr"/>
          <a:r>
            <a:rPr kumimoji="1" lang="en-US" altLang="ja-JP" sz="1100" i="1"/>
            <a:t>board revision</a:t>
          </a:r>
          <a:r>
            <a:rPr kumimoji="1" lang="en-US" altLang="ja-JP" sz="1100" i="1" baseline="0"/>
            <a:t> 2.0g</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10</xdr:col>
      <xdr:colOff>494552</xdr:colOff>
      <xdr:row>27</xdr:row>
      <xdr:rowOff>111310</xdr:rowOff>
    </xdr:to>
    <xdr:pic>
      <xdr:nvPicPr>
        <xdr:cNvPr id="3" name="Picture 2"/>
        <xdr:cNvPicPr>
          <a:picLocks noChangeAspect="1"/>
        </xdr:cNvPicPr>
      </xdr:nvPicPr>
      <xdr:blipFill>
        <a:blip xmlns:r="http://schemas.openxmlformats.org/officeDocument/2006/relationships" r:embed="rId1"/>
        <a:stretch>
          <a:fillRect/>
        </a:stretch>
      </xdr:blipFill>
      <xdr:spPr>
        <a:xfrm>
          <a:off x="609600" y="381000"/>
          <a:ext cx="5980952" cy="487381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25</xdr:col>
      <xdr:colOff>83886</xdr:colOff>
      <xdr:row>56</xdr:row>
      <xdr:rowOff>46357</xdr:rowOff>
    </xdr:to>
    <xdr:pic>
      <xdr:nvPicPr>
        <xdr:cNvPr id="2" name="Picture 1"/>
        <xdr:cNvPicPr>
          <a:picLocks noChangeAspect="1"/>
        </xdr:cNvPicPr>
      </xdr:nvPicPr>
      <xdr:blipFill>
        <a:blip xmlns:r="http://schemas.openxmlformats.org/officeDocument/2006/relationships" r:embed="rId1"/>
        <a:stretch>
          <a:fillRect/>
        </a:stretch>
      </xdr:blipFill>
      <xdr:spPr>
        <a:xfrm>
          <a:off x="609600" y="571500"/>
          <a:ext cx="14714286" cy="1014285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52387</xdr:colOff>
      <xdr:row>1</xdr:row>
      <xdr:rowOff>47625</xdr:rowOff>
    </xdr:from>
    <xdr:to>
      <xdr:col>6</xdr:col>
      <xdr:colOff>371475</xdr:colOff>
      <xdr:row>10</xdr:row>
      <xdr:rowOff>33338</xdr:rowOff>
    </xdr:to>
    <xdr:sp macro="" textlink="">
      <xdr:nvSpPr>
        <xdr:cNvPr id="2" name="TextBox 1"/>
        <xdr:cNvSpPr txBox="1"/>
      </xdr:nvSpPr>
      <xdr:spPr>
        <a:xfrm>
          <a:off x="2233612" y="238125"/>
          <a:ext cx="4462463" cy="17002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chemeClr val="dk1"/>
              </a:solidFill>
              <a:effectLst/>
              <a:latin typeface="+mn-lt"/>
              <a:ea typeface="+mn-ea"/>
              <a:cs typeface="+mn-cs"/>
            </a:rPr>
            <a:t>Two-measurement JEFT matching method by RJM Audio</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This is the simplest and most accurate method to match JFETs for the CrystalFET and determing the ideal values for the drain resistors R2 and R9.</a:t>
          </a:r>
        </a:p>
        <a:p>
          <a:endParaRPr lang="en-US"/>
        </a:p>
        <a:p>
          <a:r>
            <a:rPr lang="en-US" sz="1100" b="0" i="0" u="none" strike="noStrike">
              <a:solidFill>
                <a:schemeClr val="dk1"/>
              </a:solidFill>
              <a:effectLst/>
              <a:latin typeface="+mn-lt"/>
              <a:ea typeface="+mn-ea"/>
              <a:cs typeface="+mn-cs"/>
            </a:rPr>
            <a:t>Place the JFET in a test jig with alternate</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source resistors of 221 ohms and 681 ohms.</a:t>
          </a:r>
          <a:r>
            <a:rPr lang="en-US"/>
            <a:t>  </a:t>
          </a:r>
          <a:r>
            <a:rPr lang="en-US" sz="1100" b="0" i="0" u="none" strike="noStrike">
              <a:solidFill>
                <a:schemeClr val="dk1"/>
              </a:solidFill>
              <a:effectLst/>
              <a:latin typeface="+mn-lt"/>
              <a:ea typeface="+mn-ea"/>
              <a:cs typeface="+mn-cs"/>
            </a:rPr>
            <a:t>Measure the voltage across each resistor in turn when about 9 V is connected to the JFET drain.</a:t>
          </a:r>
          <a:endParaRPr lang="en-US" sz="1100"/>
        </a:p>
      </xdr:txBody>
    </xdr:sp>
    <xdr:clientData/>
  </xdr:twoCellAnchor>
  <xdr:twoCellAnchor editAs="oneCell">
    <xdr:from>
      <xdr:col>2</xdr:col>
      <xdr:colOff>0</xdr:colOff>
      <xdr:row>11</xdr:row>
      <xdr:rowOff>80963</xdr:rowOff>
    </xdr:from>
    <xdr:to>
      <xdr:col>9</xdr:col>
      <xdr:colOff>574429</xdr:colOff>
      <xdr:row>30</xdr:row>
      <xdr:rowOff>4320</xdr:rowOff>
    </xdr:to>
    <xdr:pic>
      <xdr:nvPicPr>
        <xdr:cNvPr id="9" name="Picture 8"/>
        <xdr:cNvPicPr>
          <a:picLocks noChangeAspect="1"/>
        </xdr:cNvPicPr>
      </xdr:nvPicPr>
      <xdr:blipFill>
        <a:blip xmlns:r="http://schemas.openxmlformats.org/officeDocument/2006/relationships" r:embed="rId1"/>
        <a:stretch>
          <a:fillRect/>
        </a:stretch>
      </xdr:blipFill>
      <xdr:spPr>
        <a:xfrm>
          <a:off x="2181225" y="2176463"/>
          <a:ext cx="7051429" cy="3542857"/>
        </a:xfrm>
        <a:prstGeom prst="rect">
          <a:avLst/>
        </a:prstGeom>
      </xdr:spPr>
    </xdr:pic>
    <xdr:clientData/>
  </xdr:twoCellAnchor>
  <xdr:twoCellAnchor>
    <xdr:from>
      <xdr:col>6</xdr:col>
      <xdr:colOff>447675</xdr:colOff>
      <xdr:row>1</xdr:row>
      <xdr:rowOff>52388</xdr:rowOff>
    </xdr:from>
    <xdr:to>
      <xdr:col>10</xdr:col>
      <xdr:colOff>342900</xdr:colOff>
      <xdr:row>10</xdr:row>
      <xdr:rowOff>38100</xdr:rowOff>
    </xdr:to>
    <xdr:sp macro="" textlink="">
      <xdr:nvSpPr>
        <xdr:cNvPr id="5" name="TextBox 4"/>
        <xdr:cNvSpPr txBox="1"/>
      </xdr:nvSpPr>
      <xdr:spPr>
        <a:xfrm>
          <a:off x="7210425" y="233363"/>
          <a:ext cx="3033713" cy="16144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As an alternative the Atlas</a:t>
          </a:r>
          <a:r>
            <a:rPr lang="en-US" sz="1100" baseline="0"/>
            <a:t> DCA Pro or similar tester can be used. For the atlas match FETs by the Vgs(on) given at 5 mA. Ideally use devices returning a value of betwen -0.5 V and -0.7 V. Use R2,9 = 10k.</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1</xdr:rowOff>
    </xdr:from>
    <xdr:to>
      <xdr:col>14</xdr:col>
      <xdr:colOff>552450</xdr:colOff>
      <xdr:row>51</xdr:row>
      <xdr:rowOff>28575</xdr:rowOff>
    </xdr:to>
    <xdr:sp macro="" textlink="">
      <xdr:nvSpPr>
        <xdr:cNvPr id="2" name="TextBox 1"/>
        <xdr:cNvSpPr txBox="1"/>
      </xdr:nvSpPr>
      <xdr:spPr>
        <a:xfrm>
          <a:off x="609600" y="381001"/>
          <a:ext cx="8477250" cy="9363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Revision 2.0d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CrytalFET 2 is the original CrystalFET circuit minus the voltage regulators. It is configued for moving magnet cartridges and has a midband voltage gain of about 38 dB. Standard 80x100 mm circuit board, with 70x90mm M3 mounting holes.</a:t>
          </a: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0" baseline="0">
              <a:solidFill>
                <a:schemeClr val="dk1"/>
              </a:solidFill>
              <a:effectLst/>
              <a:latin typeface="+mn-lt"/>
              <a:ea typeface="+mn-ea"/>
              <a:cs typeface="+mn-cs"/>
            </a:rPr>
            <a:t>Power Supply</a:t>
          </a:r>
          <a:endParaRPr lang="en-US">
            <a:effectLst/>
          </a:endParaRP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u="none" strike="noStrike" baseline="0">
              <a:solidFill>
                <a:schemeClr val="dk1"/>
              </a:solidFill>
              <a:effectLst/>
              <a:latin typeface="+mn-lt"/>
              <a:ea typeface="+mn-ea"/>
              <a:cs typeface="+mn-cs"/>
            </a:rPr>
            <a:t>The CrystalFET 2 requires about +35 V DC and 20 mA static current connected to V+, with the return taken at COM. The supply must be well regulated and filtered, with very low noise and low ripple, as the CrystalFET circuit itself has negative PSRR. The design of the power supply is left completely to the end user. </a:t>
          </a:r>
          <a:r>
            <a:rPr lang="en-US" sz="1100" baseline="0">
              <a:solidFill>
                <a:schemeClr val="dk1"/>
              </a:solidFill>
              <a:effectLst/>
              <a:latin typeface="+mn-lt"/>
              <a:ea typeface="+mn-ea"/>
              <a:cs typeface="+mn-cs"/>
            </a:rPr>
            <a:t>Do not apply power with the COM and V+ connection reversed as there is no protection on the board for reverse voltage and the filter capacitors may overheat and explode.</a:t>
          </a:r>
          <a:endParaRPr lang="en-US">
            <a:effectLst/>
          </a:endParaRP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Input Load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cartridge loading is by default R1 = 47.5 kohms, though additional options can be connected directly to the input RCA jack or a separate board with switchable loading options can be added to the input circuit if desired.</a:t>
          </a:r>
        </a:p>
        <a:p>
          <a:endParaRPr lang="en-US" sz="1100" b="0"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JFET Matching</a:t>
          </a:r>
        </a:p>
        <a:p>
          <a:endParaRPr lang="en-US" sz="1100" b="0" i="0" u="none" strike="noStrike"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"Matching" means finding two JFETS with similar pinch-off voltage (V_gs0) and transconductance g_m.</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JFETs Q1 and Q3 must be matched between channels to insure accurate stereo channel balance. JFETs Q2 and Q4 do not need to be matched, though a rough binning doesn't hurt. I can supply sets of J113 for this project. If you are matching yourself, allow a batch size of 10 units or more to harvest two closely matched pairs.</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You will probably see a spread of -V_gs0 values from about 1.2 V to over 1.7 V. Use the large values for Q2 and Q4 and keep the smaller ones (1.3-1.6 V) for Q1 and Q3.</a:t>
          </a:r>
        </a:p>
        <a:p>
          <a:pPr marL="0" marR="0" indent="0" defTabSz="914400" eaLnBrk="1" fontAlgn="auto" latinLnBrk="0" hangingPunct="1">
            <a:lnSpc>
              <a:spcPct val="100000"/>
            </a:lnSpc>
            <a:spcBef>
              <a:spcPts val="0"/>
            </a:spcBef>
            <a:spcAft>
              <a:spcPts val="0"/>
            </a:spcAft>
            <a:buClrTx/>
            <a:buSzTx/>
            <a:buFontTx/>
            <a:buNone/>
            <a:tabLst/>
            <a:defRPr/>
          </a:pPr>
          <a:endParaRPr lang="en-US"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To confirm the operating point, check the voltages between V1, V2 and COM. You should see about 8-12 V. R2,9 should be reduced if the voltage is lower than 7.5 V, and increased if it is over 12 V. Alternatively you can confirm against the ideal value calculated in the JFET Matching worksheet. If they differ by more than 25% change to a value closer to the simulation or use different JFETs. The BOM value of 10k should work with most J113 with of -V_gs0 around 1.5 V.</a:t>
          </a:r>
          <a:endParaRPr lang="en-US" sz="1100" b="0" i="0" u="none" strike="noStrike" baseline="0">
            <a:solidFill>
              <a:schemeClr val="dk1"/>
            </a:solidFill>
            <a:effectLst/>
            <a:latin typeface="+mn-lt"/>
            <a:ea typeface="+mn-ea"/>
            <a:cs typeface="+mn-cs"/>
          </a:endParaRPr>
        </a:p>
        <a:p>
          <a:endParaRPr lang="en-US" sz="1100" b="1" i="0" u="none" strike="noStrike" baseline="0">
            <a:solidFill>
              <a:schemeClr val="dk1"/>
            </a:solidFill>
            <a:effectLst/>
            <a:latin typeface="+mn-lt"/>
            <a:ea typeface="+mn-ea"/>
            <a:cs typeface="+mn-cs"/>
          </a:endParaRPr>
        </a:p>
        <a:p>
          <a:r>
            <a:rPr lang="en-US" sz="1100" b="1" i="0" u="none" strike="noStrike" baseline="0">
              <a:solidFill>
                <a:schemeClr val="dk1"/>
              </a:solidFill>
              <a:effectLst/>
              <a:latin typeface="+mn-lt"/>
              <a:ea typeface="+mn-ea"/>
              <a:cs typeface="+mn-cs"/>
            </a:rPr>
            <a:t>Other Warnings and Hints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The orientation of the TO-92 packages is indicated by the flat of the silkscreen pattern.</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Soldering tip for TO-92 transistors: straighten leads if kinked, bend center lead slightly backwards, push package leads through the pads until held in place by the spring force of the leads, solder one lead, adjust, solder remaining leads.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2017</a:t>
          </a: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election activeCell="L48" sqref="L48"/>
    </sheetView>
  </sheetViews>
  <sheetFormatPr defaultRowHeight="1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topLeftCell="B1" workbookViewId="0">
      <selection activeCell="B4" sqref="B4"/>
    </sheetView>
  </sheetViews>
  <sheetFormatPr defaultRowHeight="15"/>
  <sheetData>
    <row r="2" spans="2:2">
      <c r="B2" t="s">
        <v>41</v>
      </c>
    </row>
    <row r="5" spans="2:2">
      <c r="B5" t="s">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Y51"/>
  <sheetViews>
    <sheetView workbookViewId="0">
      <selection activeCell="B21" sqref="B21"/>
    </sheetView>
  </sheetViews>
  <sheetFormatPr defaultColWidth="10.140625" defaultRowHeight="12.75"/>
  <cols>
    <col min="1" max="1" width="16.7109375" style="3" customWidth="1"/>
    <col min="2" max="2" width="26" style="4" customWidth="1"/>
    <col min="3" max="3" width="27.85546875" style="4" customWidth="1"/>
    <col min="4" max="4" width="23" style="4" customWidth="1"/>
    <col min="5" max="5" width="19.140625" style="4" bestFit="1" customWidth="1"/>
    <col min="6" max="6" width="10.140625" style="4"/>
    <col min="7" max="7" width="29.28515625" style="4" customWidth="1"/>
    <col min="8" max="8" width="71.28515625" style="6" customWidth="1"/>
    <col min="9" max="16384" width="10.140625" style="3"/>
  </cols>
  <sheetData>
    <row r="2" spans="1:25">
      <c r="B2" s="1" t="s">
        <v>1</v>
      </c>
      <c r="C2" s="1" t="s">
        <v>2</v>
      </c>
      <c r="D2" s="1" t="s">
        <v>3</v>
      </c>
      <c r="E2" s="1" t="s">
        <v>4</v>
      </c>
      <c r="F2" s="1" t="s">
        <v>5</v>
      </c>
      <c r="G2" s="1" t="s">
        <v>6</v>
      </c>
      <c r="H2" s="2" t="s">
        <v>7</v>
      </c>
    </row>
    <row r="3" spans="1:25">
      <c r="B3" s="3"/>
      <c r="C3" s="3"/>
      <c r="D3" s="3"/>
      <c r="E3" s="3"/>
      <c r="F3" s="3" t="s">
        <v>8</v>
      </c>
      <c r="G3" s="4">
        <v>1</v>
      </c>
      <c r="H3" s="3"/>
    </row>
    <row r="4" spans="1:25">
      <c r="H4" s="5"/>
    </row>
    <row r="5" spans="1:25">
      <c r="A5" s="6" t="s">
        <v>100</v>
      </c>
      <c r="B5" s="35" t="s">
        <v>101</v>
      </c>
      <c r="C5" s="36" t="s">
        <v>11</v>
      </c>
      <c r="D5" s="36" t="s">
        <v>78</v>
      </c>
      <c r="E5" s="36" t="s">
        <v>9</v>
      </c>
      <c r="F5" s="36">
        <v>2</v>
      </c>
      <c r="G5" s="37" t="str">
        <f>IF(F5=0,"",CONCATENATE(D5,"|",F5*$G$3))</f>
        <v>660-MF1/4DC4752F|2</v>
      </c>
      <c r="H5" s="38" t="s">
        <v>10</v>
      </c>
      <c r="J5" s="16"/>
      <c r="K5" s="16"/>
      <c r="L5" s="16"/>
      <c r="M5" s="16"/>
      <c r="N5" s="9"/>
      <c r="O5" s="16"/>
      <c r="P5" s="16"/>
      <c r="Q5" s="16"/>
      <c r="R5" s="16"/>
      <c r="S5" s="16"/>
      <c r="T5" s="16"/>
      <c r="U5" s="16"/>
      <c r="V5" s="16"/>
      <c r="W5" s="16"/>
      <c r="X5" s="16"/>
      <c r="Y5" s="16"/>
    </row>
    <row r="6" spans="1:25" ht="15">
      <c r="B6" s="39" t="s">
        <v>93</v>
      </c>
      <c r="C6" s="9" t="s">
        <v>114</v>
      </c>
      <c r="D6" s="33" t="s">
        <v>118</v>
      </c>
      <c r="E6" s="9" t="s">
        <v>119</v>
      </c>
      <c r="F6" s="9">
        <v>4</v>
      </c>
      <c r="G6" s="10" t="str">
        <f>IF(F6=0,"",CONCATENATE(D6,"|",F6*$G$3))</f>
        <v>71-CMF5510K000FKEK|4</v>
      </c>
      <c r="H6" s="40" t="s">
        <v>115</v>
      </c>
      <c r="J6" s="16" t="s">
        <v>135</v>
      </c>
      <c r="K6" s="16"/>
      <c r="L6" s="16"/>
      <c r="M6" s="16"/>
      <c r="N6" s="9"/>
      <c r="O6" s="16"/>
      <c r="P6" s="16"/>
      <c r="Q6" s="16"/>
      <c r="R6" s="16"/>
      <c r="S6" s="16"/>
      <c r="T6" s="16"/>
      <c r="U6" s="16"/>
      <c r="V6" s="16"/>
      <c r="W6" s="16"/>
      <c r="X6" s="16"/>
      <c r="Y6" s="16"/>
    </row>
    <row r="7" spans="1:25">
      <c r="A7" s="50"/>
      <c r="B7" s="39" t="s">
        <v>108</v>
      </c>
      <c r="C7" s="9" t="s">
        <v>109</v>
      </c>
      <c r="D7" s="13" t="s">
        <v>116</v>
      </c>
      <c r="E7" s="9" t="s">
        <v>9</v>
      </c>
      <c r="F7" s="9">
        <v>4</v>
      </c>
      <c r="G7" s="10" t="str">
        <f t="shared" ref="G7:G20" si="0">IF(F7=0,"",CONCATENATE(D7,"|",F7*$G$3))</f>
        <v>660-MF1/4DC1000F|4</v>
      </c>
      <c r="H7" s="40" t="s">
        <v>10</v>
      </c>
      <c r="N7" s="9"/>
    </row>
    <row r="8" spans="1:25">
      <c r="A8" s="50"/>
      <c r="B8" s="39" t="s">
        <v>107</v>
      </c>
      <c r="C8" s="9" t="s">
        <v>110</v>
      </c>
      <c r="D8" s="13" t="s">
        <v>117</v>
      </c>
      <c r="E8" s="9" t="s">
        <v>9</v>
      </c>
      <c r="F8" s="9">
        <v>4</v>
      </c>
      <c r="G8" s="10" t="str">
        <f t="shared" si="0"/>
        <v>660-MF1/4DC2210F|4</v>
      </c>
      <c r="H8" s="40" t="s">
        <v>10</v>
      </c>
      <c r="N8" s="9"/>
    </row>
    <row r="9" spans="1:25">
      <c r="A9" s="50"/>
      <c r="B9" s="39" t="s">
        <v>92</v>
      </c>
      <c r="C9" s="9" t="s">
        <v>18</v>
      </c>
      <c r="D9" s="9" t="s">
        <v>19</v>
      </c>
      <c r="E9" s="9" t="s">
        <v>9</v>
      </c>
      <c r="F9" s="9">
        <v>4</v>
      </c>
      <c r="G9" s="10" t="str">
        <f t="shared" si="0"/>
        <v>660-MF1/4DC3321F|4</v>
      </c>
      <c r="H9" s="40" t="s">
        <v>10</v>
      </c>
      <c r="N9" s="9"/>
    </row>
    <row r="10" spans="1:25">
      <c r="A10" s="51"/>
      <c r="B10" s="39" t="s">
        <v>13</v>
      </c>
      <c r="C10" s="9" t="s">
        <v>74</v>
      </c>
      <c r="D10" s="9" t="s">
        <v>75</v>
      </c>
      <c r="E10" s="9" t="s">
        <v>9</v>
      </c>
      <c r="F10" s="9">
        <v>2</v>
      </c>
      <c r="G10" s="10" t="str">
        <f t="shared" si="0"/>
        <v>660-MF1/4DC2872F|2</v>
      </c>
      <c r="H10" s="40" t="s">
        <v>10</v>
      </c>
      <c r="N10" s="9"/>
    </row>
    <row r="11" spans="1:25">
      <c r="A11" s="51"/>
      <c r="B11" s="39" t="s">
        <v>14</v>
      </c>
      <c r="C11" s="9" t="s">
        <v>18</v>
      </c>
      <c r="D11" s="9" t="s">
        <v>19</v>
      </c>
      <c r="E11" s="9" t="s">
        <v>9</v>
      </c>
      <c r="F11" s="9">
        <v>2</v>
      </c>
      <c r="G11" s="10" t="str">
        <f t="shared" si="0"/>
        <v>660-MF1/4DC3321F|2</v>
      </c>
      <c r="H11" s="40" t="s">
        <v>10</v>
      </c>
      <c r="N11" s="9"/>
    </row>
    <row r="12" spans="1:25">
      <c r="A12" s="50"/>
      <c r="B12" s="39" t="s">
        <v>91</v>
      </c>
      <c r="C12" s="9" t="s">
        <v>77</v>
      </c>
      <c r="D12" s="13" t="s">
        <v>76</v>
      </c>
      <c r="E12" s="9" t="s">
        <v>9</v>
      </c>
      <c r="F12" s="9">
        <v>2</v>
      </c>
      <c r="G12" s="10" t="str">
        <f t="shared" si="0"/>
        <v>660-MF1/4DC2213F|2</v>
      </c>
      <c r="H12" s="40" t="s">
        <v>10</v>
      </c>
      <c r="N12" s="9"/>
    </row>
    <row r="13" spans="1:25">
      <c r="A13" s="50"/>
      <c r="B13" s="39" t="s">
        <v>90</v>
      </c>
      <c r="C13" s="9" t="s">
        <v>11</v>
      </c>
      <c r="D13" s="9" t="s">
        <v>78</v>
      </c>
      <c r="E13" s="9" t="s">
        <v>9</v>
      </c>
      <c r="F13" s="9">
        <v>2</v>
      </c>
      <c r="G13" s="10" t="str">
        <f t="shared" si="0"/>
        <v>660-MF1/4DC4752F|2</v>
      </c>
      <c r="H13" s="40" t="s">
        <v>10</v>
      </c>
      <c r="N13" s="9"/>
    </row>
    <row r="14" spans="1:25">
      <c r="A14" s="50"/>
      <c r="B14" s="39" t="s">
        <v>105</v>
      </c>
      <c r="C14" s="9" t="s">
        <v>121</v>
      </c>
      <c r="D14" s="9" t="s">
        <v>120</v>
      </c>
      <c r="E14" s="9" t="s">
        <v>122</v>
      </c>
      <c r="F14" s="9">
        <v>4</v>
      </c>
      <c r="G14" s="10" t="str">
        <f t="shared" si="0"/>
        <v>647-UFG1J102MHM|4</v>
      </c>
      <c r="H14" s="40" t="s">
        <v>124</v>
      </c>
      <c r="J14" s="3" t="s">
        <v>134</v>
      </c>
      <c r="K14" s="17"/>
      <c r="N14" s="9"/>
    </row>
    <row r="15" spans="1:25">
      <c r="B15" s="39" t="s">
        <v>111</v>
      </c>
      <c r="C15" s="9" t="s">
        <v>133</v>
      </c>
      <c r="D15" s="13" t="s">
        <v>123</v>
      </c>
      <c r="E15" s="9" t="s">
        <v>122</v>
      </c>
      <c r="F15" s="9">
        <v>4</v>
      </c>
      <c r="G15" s="10" t="str">
        <f t="shared" si="0"/>
        <v>647-UFG1C471MPM|4</v>
      </c>
      <c r="H15" s="40" t="s">
        <v>125</v>
      </c>
      <c r="K15" s="17"/>
      <c r="N15" s="9"/>
    </row>
    <row r="16" spans="1:25">
      <c r="A16" s="51"/>
      <c r="B16" s="39" t="s">
        <v>106</v>
      </c>
      <c r="C16" s="9" t="s">
        <v>16</v>
      </c>
      <c r="D16" s="9" t="s">
        <v>20</v>
      </c>
      <c r="E16" s="9" t="s">
        <v>21</v>
      </c>
      <c r="F16" s="9">
        <v>8</v>
      </c>
      <c r="G16" s="10" t="str">
        <f t="shared" si="0"/>
        <v>505-FKP20.033/63/2.5|8</v>
      </c>
      <c r="H16" s="40" t="s">
        <v>22</v>
      </c>
      <c r="K16" s="17"/>
      <c r="N16" s="9"/>
    </row>
    <row r="17" spans="1:14">
      <c r="A17" s="50"/>
      <c r="B17" s="39" t="s">
        <v>112</v>
      </c>
      <c r="C17" s="9" t="s">
        <v>66</v>
      </c>
      <c r="D17" s="9" t="s">
        <v>68</v>
      </c>
      <c r="E17" s="9" t="s">
        <v>69</v>
      </c>
      <c r="F17" s="9">
        <v>2</v>
      </c>
      <c r="G17" s="10" t="str">
        <f t="shared" si="0"/>
        <v>667-ECW-F2104JAQ|2</v>
      </c>
      <c r="H17" s="40" t="s">
        <v>70</v>
      </c>
      <c r="J17" s="3" t="s">
        <v>72</v>
      </c>
      <c r="K17" s="17"/>
      <c r="N17" s="9"/>
    </row>
    <row r="18" spans="1:14">
      <c r="A18" s="50"/>
      <c r="B18" s="39" t="s">
        <v>113</v>
      </c>
      <c r="C18" s="9" t="s">
        <v>17</v>
      </c>
      <c r="D18" s="9" t="s">
        <v>67</v>
      </c>
      <c r="E18" s="9" t="s">
        <v>69</v>
      </c>
      <c r="F18" s="9">
        <v>2</v>
      </c>
      <c r="G18" s="10" t="str">
        <f t="shared" si="0"/>
        <v>667-ECW-F2225JA|2</v>
      </c>
      <c r="H18" s="40" t="s">
        <v>71</v>
      </c>
      <c r="J18" s="3" t="s">
        <v>73</v>
      </c>
      <c r="N18" s="9"/>
    </row>
    <row r="19" spans="1:14">
      <c r="A19" s="50"/>
      <c r="B19" s="41" t="s">
        <v>15</v>
      </c>
      <c r="C19" s="42" t="s">
        <v>46</v>
      </c>
      <c r="D19" s="42" t="s">
        <v>88</v>
      </c>
      <c r="E19" s="42" t="s">
        <v>12</v>
      </c>
      <c r="F19" s="42">
        <v>8</v>
      </c>
      <c r="G19" s="43" t="str">
        <f t="shared" si="0"/>
        <v>512-J113|8</v>
      </c>
      <c r="H19" s="44" t="s">
        <v>89</v>
      </c>
    </row>
    <row r="20" spans="1:14">
      <c r="B20" s="9"/>
      <c r="C20" s="9"/>
      <c r="D20" s="9"/>
      <c r="E20" s="9"/>
      <c r="F20" s="9"/>
      <c r="G20" s="9" t="str">
        <f t="shared" si="0"/>
        <v/>
      </c>
      <c r="H20" s="14"/>
    </row>
    <row r="21" spans="1:14">
      <c r="B21" s="92" t="s">
        <v>102</v>
      </c>
      <c r="C21" s="18"/>
      <c r="D21" s="9"/>
      <c r="E21" s="9"/>
      <c r="F21" s="9"/>
      <c r="G21" s="9"/>
      <c r="H21" s="14"/>
    </row>
    <row r="22" spans="1:14">
      <c r="B22" s="15"/>
      <c r="D22" s="9"/>
      <c r="E22" s="9"/>
      <c r="F22" s="9"/>
      <c r="G22" s="9"/>
      <c r="H22" s="14"/>
    </row>
    <row r="23" spans="1:14">
      <c r="C23" s="11"/>
      <c r="D23" s="13"/>
      <c r="E23" s="9"/>
      <c r="F23" s="9"/>
      <c r="G23" s="9"/>
      <c r="H23" s="14"/>
    </row>
    <row r="24" spans="1:14">
      <c r="B24" s="9"/>
      <c r="C24" s="11"/>
      <c r="D24" s="3"/>
      <c r="E24" s="9"/>
      <c r="F24" s="9"/>
      <c r="G24" s="9"/>
      <c r="H24" s="14"/>
    </row>
    <row r="25" spans="1:14">
      <c r="D25" s="49"/>
      <c r="G25" s="9"/>
      <c r="H25" s="14"/>
    </row>
    <row r="26" spans="1:14">
      <c r="G26" s="9"/>
      <c r="H26" s="5"/>
    </row>
    <row r="27" spans="1:14">
      <c r="H27" s="14"/>
    </row>
    <row r="30" spans="1:14">
      <c r="C30" s="6"/>
    </row>
    <row r="31" spans="1:14">
      <c r="G31" s="13"/>
    </row>
    <row r="34" spans="2:8">
      <c r="B34" s="7"/>
      <c r="C34" s="8"/>
    </row>
    <row r="37" spans="2:8">
      <c r="G37" s="9"/>
      <c r="H37" s="9"/>
    </row>
    <row r="38" spans="2:8">
      <c r="G38" s="9"/>
      <c r="H38" s="13"/>
    </row>
    <row r="39" spans="2:8">
      <c r="G39" s="9"/>
      <c r="H39" s="9"/>
    </row>
    <row r="40" spans="2:8">
      <c r="G40" s="9"/>
      <c r="H40" s="13"/>
    </row>
    <row r="49" spans="3:5">
      <c r="D49" s="12"/>
    </row>
    <row r="51" spans="3:5">
      <c r="C51" s="9"/>
      <c r="D51" s="9"/>
      <c r="E51" s="9"/>
    </row>
  </sheetData>
  <sortState ref="K5:O20">
    <sortCondition ref="K5"/>
  </sortState>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workbookViewId="0">
      <selection activeCell="D37" sqref="D37"/>
    </sheetView>
  </sheetViews>
  <sheetFormatPr defaultRowHeight="15"/>
  <cols>
    <col min="2" max="2" width="23.5703125" bestFit="1" customWidth="1"/>
    <col min="3" max="3" width="25.85546875" style="23" bestFit="1" customWidth="1"/>
    <col min="6" max="6" width="18" bestFit="1" customWidth="1"/>
    <col min="7" max="7" width="16.7109375" bestFit="1" customWidth="1"/>
  </cols>
  <sheetData>
    <row r="1" spans="3:3">
      <c r="C1" s="52"/>
    </row>
    <row r="2" spans="3:3">
      <c r="C2" s="52"/>
    </row>
    <row r="3" spans="3:3">
      <c r="C3" s="52"/>
    </row>
    <row r="5" spans="3:3">
      <c r="C5" s="52"/>
    </row>
    <row r="6" spans="3:3">
      <c r="C6" s="52"/>
    </row>
    <row r="7" spans="3:3">
      <c r="C7" s="52"/>
    </row>
    <row r="8" spans="3:3">
      <c r="C8" s="52"/>
    </row>
    <row r="9" spans="3:3">
      <c r="C9" s="52"/>
    </row>
    <row r="10" spans="3:3">
      <c r="C10" s="52"/>
    </row>
    <row r="32" spans="3:7">
      <c r="C32" s="20"/>
      <c r="D32" s="24"/>
      <c r="E32" s="20"/>
      <c r="F32" s="20"/>
      <c r="G32" s="20"/>
    </row>
    <row r="33" spans="1:9">
      <c r="C33" s="22" t="s">
        <v>47</v>
      </c>
      <c r="D33" s="83">
        <v>221</v>
      </c>
      <c r="E33" s="22" t="s">
        <v>28</v>
      </c>
      <c r="F33" s="20" t="s">
        <v>131</v>
      </c>
      <c r="G33" s="20"/>
    </row>
    <row r="34" spans="1:9">
      <c r="C34" s="22" t="s">
        <v>48</v>
      </c>
      <c r="D34" s="84">
        <v>681</v>
      </c>
      <c r="E34" s="22" t="s">
        <v>28</v>
      </c>
      <c r="F34" s="20" t="s">
        <v>130</v>
      </c>
      <c r="G34" s="20"/>
    </row>
    <row r="35" spans="1:9">
      <c r="C35" s="22" t="s">
        <v>49</v>
      </c>
      <c r="D35" s="85">
        <v>0.7</v>
      </c>
      <c r="E35" s="22" t="s">
        <v>23</v>
      </c>
      <c r="F35" s="20" t="s">
        <v>51</v>
      </c>
    </row>
    <row r="36" spans="1:9">
      <c r="A36" s="67"/>
      <c r="C36" s="22" t="s">
        <v>50</v>
      </c>
      <c r="D36" s="82">
        <v>1.05</v>
      </c>
      <c r="E36" s="22" t="s">
        <v>23</v>
      </c>
      <c r="F36" s="20" t="s">
        <v>52</v>
      </c>
    </row>
    <row r="38" spans="1:9">
      <c r="C38" s="79" t="str">
        <f>C73</f>
        <v>g_m</v>
      </c>
      <c r="D38" s="80">
        <f>D73</f>
        <v>4.9100935066606439</v>
      </c>
      <c r="E38" s="79" t="str">
        <f>E73</f>
        <v>mS</v>
      </c>
      <c r="F38" t="s">
        <v>97</v>
      </c>
    </row>
    <row r="39" spans="1:9">
      <c r="C39" s="79" t="str">
        <f>C48</f>
        <v>-V_gs0</v>
      </c>
      <c r="D39" s="81">
        <f t="shared" ref="D39:E39" si="0">D48</f>
        <v>1.8577871208369263</v>
      </c>
      <c r="E39" s="79" t="str">
        <f t="shared" si="0"/>
        <v>V</v>
      </c>
      <c r="F39" t="s">
        <v>98</v>
      </c>
    </row>
    <row r="41" spans="1:9">
      <c r="C41" s="31"/>
      <c r="D41" s="28"/>
      <c r="E41" s="31"/>
    </row>
    <row r="42" spans="1:9">
      <c r="B42" s="19" t="s">
        <v>93</v>
      </c>
      <c r="C42" s="30" t="s">
        <v>64</v>
      </c>
      <c r="D42" s="90">
        <f>D84</f>
        <v>9.2129065494353686</v>
      </c>
      <c r="E42" s="30" t="s">
        <v>60</v>
      </c>
      <c r="F42" t="s">
        <v>129</v>
      </c>
    </row>
    <row r="44" spans="1:9">
      <c r="B44" s="21"/>
      <c r="C44" s="89" t="str">
        <f>C79</f>
        <v>circuit gain</v>
      </c>
      <c r="D44" s="32">
        <f>D79</f>
        <v>34.256090807676621</v>
      </c>
      <c r="E44" s="25" t="str">
        <f>E79</f>
        <v>dB</v>
      </c>
      <c r="F44" t="s">
        <v>128</v>
      </c>
    </row>
    <row r="47" spans="1:9" ht="15.75" thickBot="1">
      <c r="B47" t="s">
        <v>99</v>
      </c>
    </row>
    <row r="48" spans="1:9">
      <c r="B48" s="53"/>
      <c r="C48" s="68" t="s">
        <v>42</v>
      </c>
      <c r="D48" s="77">
        <f>(D35-SQRT(D35*D34/D36/D33)*D36)/(1-SQRT(D35*D34/D36/D33))</f>
        <v>1.8577871208369263</v>
      </c>
      <c r="E48" s="69" t="s">
        <v>23</v>
      </c>
      <c r="F48" s="54" t="s">
        <v>103</v>
      </c>
      <c r="G48" s="54"/>
      <c r="H48" s="54"/>
      <c r="I48" s="55"/>
    </row>
    <row r="49" spans="2:9">
      <c r="B49" s="56"/>
      <c r="C49" s="59" t="s">
        <v>25</v>
      </c>
      <c r="D49" s="32">
        <f>1000*D35/D33/(1-D35/D48)^2</f>
        <v>8.1553054824875861</v>
      </c>
      <c r="E49" s="59" t="s">
        <v>24</v>
      </c>
      <c r="F49" s="20" t="s">
        <v>104</v>
      </c>
      <c r="G49" s="20"/>
      <c r="H49" s="20"/>
      <c r="I49" s="57"/>
    </row>
    <row r="50" spans="2:9">
      <c r="B50" s="56"/>
      <c r="C50" s="59" t="s">
        <v>54</v>
      </c>
      <c r="D50" s="86">
        <v>35</v>
      </c>
      <c r="E50" s="59" t="s">
        <v>23</v>
      </c>
      <c r="F50" s="20" t="s">
        <v>127</v>
      </c>
      <c r="G50" s="20"/>
      <c r="H50" s="20"/>
      <c r="I50" s="57"/>
    </row>
    <row r="51" spans="2:9">
      <c r="B51" s="56"/>
      <c r="C51" s="59" t="s">
        <v>26</v>
      </c>
      <c r="D51" s="87">
        <v>10</v>
      </c>
      <c r="E51" s="59" t="s">
        <v>23</v>
      </c>
      <c r="F51" s="20" t="s">
        <v>63</v>
      </c>
      <c r="G51" s="20"/>
      <c r="H51" s="20"/>
      <c r="I51" s="57"/>
    </row>
    <row r="52" spans="2:9">
      <c r="B52" s="56" t="s">
        <v>95</v>
      </c>
      <c r="C52" s="59" t="s">
        <v>80</v>
      </c>
      <c r="D52" s="88">
        <v>221</v>
      </c>
      <c r="E52" s="21" t="s">
        <v>28</v>
      </c>
      <c r="F52" s="20"/>
      <c r="G52" s="20"/>
      <c r="H52" s="20"/>
      <c r="I52" s="57"/>
    </row>
    <row r="53" spans="2:9">
      <c r="B53" s="56" t="s">
        <v>94</v>
      </c>
      <c r="C53" s="59" t="s">
        <v>81</v>
      </c>
      <c r="D53" s="70">
        <v>100</v>
      </c>
      <c r="E53" s="21" t="s">
        <v>28</v>
      </c>
      <c r="F53" s="20"/>
      <c r="G53" s="20"/>
      <c r="H53" s="20"/>
      <c r="I53" s="57"/>
    </row>
    <row r="54" spans="2:9">
      <c r="B54" s="56" t="s">
        <v>96</v>
      </c>
      <c r="C54" s="21" t="s">
        <v>29</v>
      </c>
      <c r="D54" s="32">
        <f>D52+D53</f>
        <v>321</v>
      </c>
      <c r="E54" s="21" t="s">
        <v>28</v>
      </c>
      <c r="F54" s="20" t="s">
        <v>58</v>
      </c>
      <c r="G54" s="20"/>
      <c r="H54" s="20"/>
      <c r="I54" s="57"/>
    </row>
    <row r="55" spans="2:9">
      <c r="B55" s="56"/>
      <c r="C55" s="59"/>
      <c r="D55" s="33"/>
      <c r="E55" s="59"/>
      <c r="F55" s="20"/>
      <c r="G55" s="20"/>
      <c r="H55" s="20"/>
      <c r="I55" s="57"/>
    </row>
    <row r="56" spans="2:9">
      <c r="B56" s="56"/>
      <c r="C56" s="59" t="s">
        <v>40</v>
      </c>
      <c r="D56" s="71">
        <f>D49/D48/D48</f>
        <v>2.3629162987446355</v>
      </c>
      <c r="E56" s="59" t="s">
        <v>53</v>
      </c>
      <c r="F56" s="20"/>
      <c r="G56" s="20"/>
      <c r="H56" s="20"/>
      <c r="I56" s="57"/>
    </row>
    <row r="57" spans="2:9">
      <c r="B57" s="56"/>
      <c r="C57" s="59"/>
      <c r="D57" s="33"/>
      <c r="E57" s="21"/>
      <c r="F57" s="20"/>
      <c r="G57" s="20"/>
      <c r="H57" s="20"/>
      <c r="I57" s="57"/>
    </row>
    <row r="58" spans="2:9">
      <c r="B58" s="56"/>
      <c r="C58" s="45" t="s">
        <v>43</v>
      </c>
      <c r="D58" s="46">
        <f>D56/1000</f>
        <v>2.3629162987446354E-3</v>
      </c>
      <c r="E58" s="21"/>
      <c r="F58" s="20"/>
      <c r="G58" s="20"/>
      <c r="H58" s="20"/>
      <c r="I58" s="57"/>
    </row>
    <row r="59" spans="2:9">
      <c r="B59" s="56"/>
      <c r="C59" s="47" t="s">
        <v>44</v>
      </c>
      <c r="D59" s="34">
        <f>-(2*D48*D56/1000+1/D54)</f>
        <v>-1.1894855732354673E-2</v>
      </c>
      <c r="E59" s="21"/>
      <c r="F59" s="20"/>
      <c r="G59" s="20"/>
      <c r="H59" s="20"/>
      <c r="I59" s="57"/>
    </row>
    <row r="60" spans="2:9">
      <c r="B60" s="56"/>
      <c r="C60" s="47" t="s">
        <v>45</v>
      </c>
      <c r="D60" s="34">
        <f>D49/1000</f>
        <v>8.1553054824875862E-3</v>
      </c>
      <c r="E60" s="59"/>
      <c r="F60" s="20"/>
      <c r="G60" s="20"/>
      <c r="H60" s="20"/>
      <c r="I60" s="57"/>
    </row>
    <row r="61" spans="2:9">
      <c r="B61" s="56"/>
      <c r="C61" s="29"/>
      <c r="D61" s="72"/>
      <c r="E61" s="59"/>
      <c r="F61" s="20"/>
      <c r="G61" s="20"/>
      <c r="H61" s="20"/>
      <c r="I61" s="57"/>
    </row>
    <row r="62" spans="2:9">
      <c r="B62" s="56"/>
      <c r="C62" s="27" t="s">
        <v>38</v>
      </c>
      <c r="D62" s="26">
        <f>(-D59-SQRT(D59*D59-4*D58*D60))/2/D58</f>
        <v>0.81879697351997127</v>
      </c>
      <c r="E62" s="21" t="s">
        <v>23</v>
      </c>
      <c r="F62" s="20" t="s">
        <v>57</v>
      </c>
      <c r="G62" s="20"/>
      <c r="H62" s="20"/>
      <c r="I62" s="57"/>
    </row>
    <row r="63" spans="2:9">
      <c r="B63" s="56"/>
      <c r="C63" s="27" t="s">
        <v>39</v>
      </c>
      <c r="D63" s="26">
        <f>D62/D54*1000</f>
        <v>2.5507693879126827</v>
      </c>
      <c r="E63" s="21" t="s">
        <v>24</v>
      </c>
      <c r="F63" s="20" t="s">
        <v>79</v>
      </c>
      <c r="G63" s="20"/>
      <c r="H63" s="20"/>
      <c r="I63" s="57"/>
    </row>
    <row r="64" spans="2:9">
      <c r="B64" s="56"/>
      <c r="C64" s="59"/>
      <c r="D64" s="33"/>
      <c r="E64" s="59"/>
      <c r="F64" s="20"/>
      <c r="G64" s="20"/>
      <c r="H64" s="20"/>
      <c r="I64" s="57"/>
    </row>
    <row r="65" spans="2:9">
      <c r="B65" s="56" t="s">
        <v>93</v>
      </c>
      <c r="C65" s="73" t="s">
        <v>27</v>
      </c>
      <c r="D65" s="74">
        <f>1000*(D50-D51-1.5)/D63</f>
        <v>9212.906549435369</v>
      </c>
      <c r="E65" s="73" t="s">
        <v>28</v>
      </c>
      <c r="F65" s="20" t="s">
        <v>86</v>
      </c>
      <c r="G65" s="20"/>
      <c r="H65" s="20"/>
      <c r="I65" s="57"/>
    </row>
    <row r="66" spans="2:9">
      <c r="B66" s="56"/>
      <c r="C66" s="59"/>
      <c r="D66" s="33"/>
      <c r="E66" s="59"/>
      <c r="F66" s="20"/>
      <c r="G66" s="20"/>
      <c r="H66" s="20"/>
      <c r="I66" s="57"/>
    </row>
    <row r="67" spans="2:9">
      <c r="B67" s="56" t="s">
        <v>92</v>
      </c>
      <c r="C67" s="60" t="s">
        <v>30</v>
      </c>
      <c r="D67" s="75">
        <v>3320</v>
      </c>
      <c r="E67" s="60" t="s">
        <v>28</v>
      </c>
      <c r="F67" s="20" t="s">
        <v>59</v>
      </c>
      <c r="G67" s="20"/>
      <c r="H67" s="20"/>
      <c r="I67" s="57"/>
    </row>
    <row r="68" spans="2:9">
      <c r="B68" s="56"/>
      <c r="C68" s="59" t="s">
        <v>56</v>
      </c>
      <c r="D68" s="62">
        <f>1000*(D51+D62)/D67</f>
        <v>3.2586737872048106</v>
      </c>
      <c r="E68" s="59" t="s">
        <v>24</v>
      </c>
      <c r="F68" s="20"/>
      <c r="G68" s="20"/>
      <c r="H68" s="20"/>
      <c r="I68" s="57"/>
    </row>
    <row r="69" spans="2:9">
      <c r="B69" s="56"/>
      <c r="C69" s="59"/>
      <c r="D69" s="63"/>
      <c r="E69" s="59"/>
      <c r="F69" s="58"/>
      <c r="G69" s="20"/>
      <c r="H69" s="20"/>
      <c r="I69" s="57"/>
    </row>
    <row r="70" spans="2:9">
      <c r="B70" s="56"/>
      <c r="C70" s="59" t="s">
        <v>31</v>
      </c>
      <c r="D70" s="33">
        <f>0.0484*2</f>
        <v>9.6799999999999997E-2</v>
      </c>
      <c r="E70" s="59" t="s">
        <v>32</v>
      </c>
      <c r="F70" s="20"/>
      <c r="G70" s="20"/>
      <c r="H70" s="20"/>
      <c r="I70" s="57"/>
    </row>
    <row r="71" spans="2:9">
      <c r="B71" s="56" t="s">
        <v>111</v>
      </c>
      <c r="C71" s="60" t="s">
        <v>33</v>
      </c>
      <c r="D71" s="61">
        <f>D70/D52*1000000</f>
        <v>438.00904977375563</v>
      </c>
      <c r="E71" s="60" t="s">
        <v>34</v>
      </c>
      <c r="F71" s="20"/>
      <c r="G71" s="20"/>
      <c r="H71" s="20"/>
      <c r="I71" s="57"/>
    </row>
    <row r="72" spans="2:9">
      <c r="B72" s="56"/>
      <c r="C72" s="59"/>
      <c r="D72" s="33"/>
      <c r="E72" s="59"/>
      <c r="F72" s="20"/>
      <c r="G72" s="20"/>
      <c r="H72" s="20"/>
      <c r="I72" s="57"/>
    </row>
    <row r="73" spans="2:9">
      <c r="B73" s="56"/>
      <c r="C73" s="59" t="s">
        <v>35</v>
      </c>
      <c r="D73" s="62">
        <f>2*SQRT(D49*D63)/D48</f>
        <v>4.9100935066606439</v>
      </c>
      <c r="E73" s="59" t="s">
        <v>36</v>
      </c>
      <c r="F73" s="20" t="s">
        <v>55</v>
      </c>
      <c r="G73" s="20"/>
      <c r="H73" s="20"/>
      <c r="I73" s="57"/>
    </row>
    <row r="74" spans="2:9">
      <c r="B74" s="56"/>
      <c r="C74" s="59" t="s">
        <v>82</v>
      </c>
      <c r="D74" s="33">
        <v>50000</v>
      </c>
      <c r="E74" s="59" t="s">
        <v>28</v>
      </c>
      <c r="F74" s="20" t="s">
        <v>83</v>
      </c>
      <c r="G74" s="20"/>
      <c r="H74" s="20"/>
      <c r="I74" s="57"/>
    </row>
    <row r="75" spans="2:9">
      <c r="B75" s="56"/>
      <c r="C75" s="59" t="s">
        <v>87</v>
      </c>
      <c r="D75" s="63">
        <f>1/(1/D65+1/D74)</f>
        <v>7779.4750218381396</v>
      </c>
      <c r="E75" s="59" t="s">
        <v>28</v>
      </c>
      <c r="F75" s="20"/>
      <c r="G75" s="20"/>
      <c r="H75" s="20"/>
      <c r="I75" s="57"/>
    </row>
    <row r="76" spans="2:9">
      <c r="B76" s="56"/>
      <c r="C76" s="59" t="s">
        <v>65</v>
      </c>
      <c r="D76" s="63">
        <f>(D73*D75/1000)</f>
        <v>38.19794978995612</v>
      </c>
      <c r="E76" s="59"/>
      <c r="F76" s="20" t="s">
        <v>84</v>
      </c>
      <c r="G76" s="91">
        <f>20*LOG(D76)</f>
        <v>31.640801070378895</v>
      </c>
      <c r="H76" s="20" t="s">
        <v>37</v>
      </c>
      <c r="I76" s="57"/>
    </row>
    <row r="77" spans="2:9">
      <c r="B77" s="56"/>
      <c r="C77" s="59" t="s">
        <v>44</v>
      </c>
      <c r="D77" s="33">
        <f>D53/D65</f>
        <v>1.0854337820905032E-2</v>
      </c>
      <c r="E77" s="59"/>
      <c r="F77" s="20" t="s">
        <v>85</v>
      </c>
      <c r="G77" s="91">
        <f>G76-D78</f>
        <v>3.0127556665405848</v>
      </c>
      <c r="H77" s="20" t="s">
        <v>37</v>
      </c>
      <c r="I77" s="57"/>
    </row>
    <row r="78" spans="2:9">
      <c r="B78" s="56"/>
      <c r="C78" s="59" t="s">
        <v>132</v>
      </c>
      <c r="D78" s="63">
        <f>20*LOG(D76/(1+D76*D77))</f>
        <v>28.628045403838311</v>
      </c>
      <c r="E78" s="59" t="s">
        <v>37</v>
      </c>
      <c r="F78" s="20"/>
      <c r="G78" s="20"/>
      <c r="H78" s="20"/>
      <c r="I78" s="57"/>
    </row>
    <row r="79" spans="2:9">
      <c r="B79" s="56"/>
      <c r="C79" s="59" t="s">
        <v>126</v>
      </c>
      <c r="D79" s="63">
        <f>2*20*LOG(D76/(1+D76*D77))-23</f>
        <v>34.256090807676621</v>
      </c>
      <c r="E79" s="59" t="s">
        <v>37</v>
      </c>
      <c r="F79" s="20" t="s">
        <v>61</v>
      </c>
      <c r="G79" s="20"/>
      <c r="H79" s="20"/>
      <c r="I79" s="57"/>
    </row>
    <row r="80" spans="2:9">
      <c r="B80" s="56"/>
      <c r="C80" s="59"/>
      <c r="D80" s="33"/>
      <c r="E80" s="59"/>
      <c r="F80" s="20"/>
      <c r="G80" s="20"/>
      <c r="H80" s="20"/>
      <c r="I80" s="57"/>
    </row>
    <row r="81" spans="2:10">
      <c r="B81" s="56"/>
      <c r="C81" s="59" t="s">
        <v>62</v>
      </c>
      <c r="D81" s="63">
        <f>(D63+D68)*3+5</f>
        <v>22.428329525352481</v>
      </c>
      <c r="E81" s="59" t="s">
        <v>24</v>
      </c>
      <c r="F81" s="20"/>
      <c r="G81" s="20"/>
      <c r="H81" s="20"/>
      <c r="I81" s="57"/>
    </row>
    <row r="82" spans="2:10">
      <c r="B82" s="56"/>
      <c r="C82" s="33"/>
      <c r="D82" s="59"/>
      <c r="E82" s="59"/>
      <c r="F82" s="20"/>
      <c r="G82" s="20"/>
      <c r="H82" s="20"/>
      <c r="I82" s="57"/>
    </row>
    <row r="83" spans="2:10">
      <c r="B83" s="56"/>
      <c r="C83" s="33"/>
      <c r="D83" s="59"/>
      <c r="E83" s="59"/>
      <c r="F83" s="20"/>
      <c r="G83" s="20"/>
      <c r="H83" s="20"/>
      <c r="I83" s="57"/>
    </row>
    <row r="84" spans="2:10" ht="15.75" thickBot="1">
      <c r="B84" s="64"/>
      <c r="C84" s="76" t="s">
        <v>64</v>
      </c>
      <c r="D84" s="78">
        <f>D65/1000</f>
        <v>9.2129065494353686</v>
      </c>
      <c r="E84" s="76" t="s">
        <v>60</v>
      </c>
      <c r="F84" s="48"/>
      <c r="G84" s="65"/>
      <c r="H84" s="65"/>
      <c r="I84" s="66"/>
      <c r="J84" s="25"/>
    </row>
    <row r="85" spans="2:10">
      <c r="C85"/>
      <c r="D85" s="23"/>
      <c r="G85" s="21"/>
      <c r="H85" s="21"/>
      <c r="I85" s="21"/>
      <c r="J85" s="25"/>
    </row>
    <row r="86" spans="2:10">
      <c r="I86" s="25"/>
      <c r="J86" s="25"/>
    </row>
    <row r="87" spans="2:10">
      <c r="C87"/>
    </row>
    <row r="88" spans="2:10">
      <c r="C88"/>
    </row>
    <row r="89" spans="2:10">
      <c r="C89"/>
    </row>
    <row r="90" spans="2:10">
      <c r="C90"/>
    </row>
    <row r="91" spans="2:10">
      <c r="C91"/>
    </row>
    <row r="92" spans="2:10">
      <c r="C92"/>
    </row>
    <row r="93" spans="2:10">
      <c r="C93"/>
    </row>
    <row r="94" spans="2:10">
      <c r="C94"/>
    </row>
    <row r="95" spans="2:10">
      <c r="C95"/>
    </row>
    <row r="96" spans="2:10">
      <c r="C96"/>
    </row>
    <row r="97" spans="3:3">
      <c r="C97"/>
    </row>
    <row r="98" spans="3:3">
      <c r="C98"/>
    </row>
    <row r="99" spans="3:3">
      <c r="C99"/>
    </row>
    <row r="100" spans="3:3">
      <c r="C100"/>
    </row>
    <row r="101" spans="3:3">
      <c r="C101"/>
    </row>
    <row r="102" spans="3:3">
      <c r="C102"/>
    </row>
    <row r="103" spans="3:3">
      <c r="C103"/>
    </row>
    <row r="104" spans="3:3">
      <c r="C104"/>
    </row>
    <row r="105" spans="3:3">
      <c r="C105"/>
    </row>
    <row r="106" spans="3:3">
      <c r="C106"/>
    </row>
    <row r="107" spans="3:3">
      <c r="C107"/>
    </row>
    <row r="108" spans="3:3">
      <c r="C108"/>
    </row>
    <row r="109" spans="3:3">
      <c r="C109"/>
    </row>
  </sheetData>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A19" zoomScaleNormal="100" workbookViewId="0">
      <selection activeCell="J55" sqref="J55"/>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vt:lpstr>
      <vt:lpstr>Board</vt:lpstr>
      <vt:lpstr>Schematic</vt:lpstr>
      <vt:lpstr>BOM</vt:lpstr>
      <vt:lpstr>JFET Matching</vt:lpstr>
      <vt:lpstr>Notes</vt:lpstr>
      <vt:lpstr>BOM!Print_Area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2017-04-21T03:32:26Z</dcterms:modified>
  <cp:category/>
  <cp:contentStatus/>
</cp:coreProperties>
</file>