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0" yWindow="-30" windowWidth="19320" windowHeight="15600"/>
  </bookViews>
  <sheets>
    <sheet name="Cover" sheetId="8" r:id="rId1"/>
    <sheet name="Board" sheetId="38" r:id="rId2"/>
    <sheet name="Schematic" sheetId="39" r:id="rId3"/>
    <sheet name="BOM" sheetId="36" r:id="rId4"/>
    <sheet name="1. measure your FET" sheetId="43" r:id="rId5"/>
    <sheet name="2. calculate R_drain" sheetId="40" r:id="rId6"/>
    <sheet name="3. choose R_drain" sheetId="44" r:id="rId7"/>
    <sheet name="Response" sheetId="46" r:id="rId8"/>
    <sheet name="Notes" sheetId="37" r:id="rId9"/>
  </sheets>
  <definedNames>
    <definedName name="_xlnm.Print_Area" localSheetId="3">BOM!$B$5:$H$31</definedName>
  </definedNames>
  <calcPr calcId="152511"/>
</workbook>
</file>

<file path=xl/calcChain.xml><?xml version="1.0" encoding="utf-8"?>
<calcChain xmlns="http://schemas.openxmlformats.org/spreadsheetml/2006/main">
  <c r="C37" i="40" l="1"/>
  <c r="G27" i="36" l="1"/>
  <c r="C33" i="40" l="1"/>
  <c r="C7" i="43" l="1"/>
  <c r="C8" i="43" l="1"/>
  <c r="C3" i="40" s="1"/>
  <c r="C14" i="40" s="1"/>
  <c r="C2" i="40"/>
  <c r="C24" i="40"/>
  <c r="C25" i="40"/>
  <c r="C8" i="40"/>
  <c r="G21" i="36" l="1"/>
  <c r="G33" i="36" l="1"/>
  <c r="G32" i="36" l="1"/>
  <c r="B13" i="43" l="1"/>
  <c r="D13" i="43"/>
  <c r="G24" i="36" l="1"/>
  <c r="G23" i="36"/>
  <c r="C3" i="44" l="1"/>
  <c r="C10" i="40" l="1"/>
  <c r="C13" i="40" s="1"/>
  <c r="C12" i="40" l="1"/>
  <c r="G26" i="36"/>
  <c r="G30" i="36" l="1"/>
  <c r="G7" i="36"/>
  <c r="G8" i="36"/>
  <c r="G9" i="36"/>
  <c r="G10" i="36"/>
  <c r="G11" i="36"/>
  <c r="G12" i="36"/>
  <c r="G13" i="36"/>
  <c r="G14" i="36"/>
  <c r="G15" i="36"/>
  <c r="G16" i="36"/>
  <c r="G18" i="36"/>
  <c r="G19" i="36"/>
  <c r="G20" i="36"/>
  <c r="G17" i="36"/>
  <c r="G22" i="36"/>
  <c r="G25" i="36"/>
  <c r="G28" i="36"/>
  <c r="G29" i="36"/>
  <c r="G31" i="36"/>
  <c r="C16" i="40" l="1"/>
  <c r="C17" i="40" s="1"/>
  <c r="C19" i="40" s="1"/>
  <c r="G39" i="36"/>
  <c r="G40" i="36"/>
  <c r="G5" i="36"/>
  <c r="C29" i="40" l="1"/>
  <c r="C31" i="40"/>
  <c r="C27" i="40"/>
  <c r="C22" i="40"/>
  <c r="C30" i="40" l="1"/>
  <c r="C36" i="40"/>
  <c r="C4" i="44"/>
  <c r="F6" i="44"/>
  <c r="C6" i="44"/>
  <c r="C34" i="40" l="1"/>
  <c r="F13" i="43"/>
  <c r="C13" i="43"/>
  <c r="C6" i="36"/>
  <c r="D6" i="36"/>
  <c r="G6" i="36" s="1"/>
</calcChain>
</file>

<file path=xl/sharedStrings.xml><?xml version="1.0" encoding="utf-8"?>
<sst xmlns="http://schemas.openxmlformats.org/spreadsheetml/2006/main" count="289" uniqueCount="206">
  <si>
    <t xml:space="preserve"> </t>
  </si>
  <si>
    <t>Part</t>
  </si>
  <si>
    <t>Value</t>
  </si>
  <si>
    <t>Mouser part no.</t>
    <phoneticPr fontId="2"/>
  </si>
  <si>
    <t>Description</t>
    <phoneticPr fontId="2"/>
  </si>
  <si>
    <t>Qty.</t>
  </si>
  <si>
    <t>Import Mouser BOM</t>
    <phoneticPr fontId="2"/>
  </si>
  <si>
    <t>Notes</t>
    <phoneticPr fontId="2"/>
  </si>
  <si>
    <t>(2 channels)</t>
  </si>
  <si>
    <t>660-MF1/4DC4750F</t>
  </si>
  <si>
    <t>KOA Speer</t>
  </si>
  <si>
    <t>1% 0.25W metal film</t>
  </si>
  <si>
    <t>47.5k</t>
  </si>
  <si>
    <t>22.1k</t>
  </si>
  <si>
    <t>660-MF1/4DC2212F</t>
  </si>
  <si>
    <t>R21</t>
  </si>
  <si>
    <t>R22</t>
  </si>
  <si>
    <t>Nichicon FW</t>
  </si>
  <si>
    <t>Fairchild Hfe=100</t>
    <phoneticPr fontId="2"/>
  </si>
  <si>
    <t>Fairchild</t>
  </si>
  <si>
    <t>Power Supply</t>
  </si>
  <si>
    <t>T1</t>
    <phoneticPr fontId="2"/>
  </si>
  <si>
    <t>D1</t>
    <phoneticPr fontId="2"/>
  </si>
  <si>
    <t>3 A 200 V</t>
    <phoneticPr fontId="2"/>
  </si>
  <si>
    <t>625-GBPC102-E4</t>
  </si>
  <si>
    <t>Vishay GBPC6 3 A 200 V</t>
    <phoneticPr fontId="2"/>
  </si>
  <si>
    <t>R6</t>
  </si>
  <si>
    <t>R7</t>
  </si>
  <si>
    <t>C2-5</t>
  </si>
  <si>
    <t>C6</t>
  </si>
  <si>
    <t>C8</t>
  </si>
  <si>
    <t>Q1-4</t>
  </si>
  <si>
    <t>Q5</t>
  </si>
  <si>
    <t>Q6</t>
  </si>
  <si>
    <t>Q7,8</t>
  </si>
  <si>
    <t>1k trim</t>
  </si>
  <si>
    <t>33nF</t>
  </si>
  <si>
    <t>2.2uF</t>
  </si>
  <si>
    <t>D1</t>
  </si>
  <si>
    <t>TO-220 p-channel mosfet</t>
  </si>
  <si>
    <t>72-T93YA-1K</t>
  </si>
  <si>
    <t>Vishay</t>
  </si>
  <si>
    <t>3.32k</t>
  </si>
  <si>
    <t>660-MF1/4DC3321F</t>
  </si>
  <si>
    <t>505-FKP20.033/63/2.5</t>
  </si>
  <si>
    <t>Wima MKP2</t>
  </si>
  <si>
    <t>844-IRF9520PBF</t>
  </si>
  <si>
    <t>IRF9520PBF</t>
  </si>
  <si>
    <t>International Rectifier</t>
  </si>
  <si>
    <t>0.5W multi-turn cermet trimmer</t>
  </si>
  <si>
    <t>2.5% polypro film (or Vishay/BC BFC241713303)</t>
  </si>
  <si>
    <t>V</t>
  </si>
  <si>
    <t>mA</t>
  </si>
  <si>
    <t>V_gs0</t>
  </si>
  <si>
    <t>I_dss</t>
  </si>
  <si>
    <t>Vdrain (V_d)</t>
  </si>
  <si>
    <t>R_drain</t>
  </si>
  <si>
    <t>ohms</t>
  </si>
  <si>
    <t>R_source</t>
  </si>
  <si>
    <t>R_follower</t>
  </si>
  <si>
    <t>t_RC</t>
  </si>
  <si>
    <t>s</t>
  </si>
  <si>
    <t>C_bypass</t>
  </si>
  <si>
    <t>uF</t>
  </si>
  <si>
    <t>C1,7</t>
  </si>
  <si>
    <t>g_m</t>
  </si>
  <si>
    <t>mS</t>
  </si>
  <si>
    <t>dB</t>
  </si>
  <si>
    <t>V_gs</t>
  </si>
  <si>
    <t>I_ds</t>
  </si>
  <si>
    <t>beta</t>
  </si>
  <si>
    <t>For connectivity reference only. The correct parts values are given in the BOM.</t>
  </si>
  <si>
    <t>-V_gs0</t>
  </si>
  <si>
    <t>a</t>
  </si>
  <si>
    <t>b</t>
  </si>
  <si>
    <t>c</t>
  </si>
  <si>
    <t>C18-20</t>
  </si>
  <si>
    <t>0.1uF/100V</t>
  </si>
  <si>
    <t>TDK Ceramic X7R</t>
  </si>
  <si>
    <t>J113</t>
  </si>
  <si>
    <t>&lt;-- actual resistor used in test circuit</t>
  </si>
  <si>
    <t>&lt;-- saturation current</t>
  </si>
  <si>
    <t>Crystal Boards</t>
  </si>
  <si>
    <t>riaa</t>
  </si>
  <si>
    <t>647-UFW1J221MPD</t>
  </si>
  <si>
    <t>220uF/63V</t>
  </si>
  <si>
    <t>or Nichicon KW, any 5 mm lead spacing (can be 50V rated)</t>
  </si>
  <si>
    <t>or Nichicon KW, any 2 mm or 2.5 mm lead spacing</t>
  </si>
  <si>
    <t>R_1</t>
  </si>
  <si>
    <t>R_2</t>
  </si>
  <si>
    <t>V_1</t>
  </si>
  <si>
    <t>V_2</t>
  </si>
  <si>
    <t>&lt;-- measured voltage across R_1</t>
  </si>
  <si>
    <t>&lt;-- measured voltage across R_2</t>
  </si>
  <si>
    <t>mA/V^2</t>
  </si>
  <si>
    <t>Vsupply</t>
  </si>
  <si>
    <t>&lt;-- transconductance</t>
  </si>
  <si>
    <t>I_ds (follower)</t>
  </si>
  <si>
    <t xml:space="preserve">&lt;-- operating point gate-source voltage </t>
  </si>
  <si>
    <t>&lt;-- should not exceed 35 mA</t>
  </si>
  <si>
    <t>&lt;-- the source resistance</t>
  </si>
  <si>
    <t>&lt;-- adjust to keep I_ds (follower) around 3 mA</t>
  </si>
  <si>
    <t>kohms</t>
  </si>
  <si>
    <t>&lt;-- MM configuration gain</t>
  </si>
  <si>
    <t>&lt;-- MC configuration gain</t>
  </si>
  <si>
    <t>Bridge rectifier, use 2 for dual mono (alternative KBPC2510 or similar)</t>
  </si>
  <si>
    <t>circuit current draw (inc. shunt)</t>
  </si>
  <si>
    <t>&lt;-- the desired voltage at the jfet drain pin, 10 V optimal</t>
  </si>
  <si>
    <t>&lt;-- the regulator output voltage V+, 35 V</t>
  </si>
  <si>
    <t>Mouser part no.</t>
  </si>
  <si>
    <t>R_drain (calculated)</t>
  </si>
  <si>
    <t>R_drain (closest practical)</t>
  </si>
  <si>
    <t>--&gt;</t>
  </si>
  <si>
    <t>A</t>
  </si>
  <si>
    <t>1N4004</t>
  </si>
  <si>
    <t>512-1N4004</t>
  </si>
  <si>
    <t>660-MF1/4DC47R5F</t>
  </si>
  <si>
    <t>512-BD14016S</t>
  </si>
  <si>
    <t>512-BD13916S</t>
  </si>
  <si>
    <t>0.1uF</t>
  </si>
  <si>
    <t>810-FK26X7R2A104K</t>
  </si>
  <si>
    <t>BD140</t>
  </si>
  <si>
    <t>BD139</t>
  </si>
  <si>
    <t>667-ECW-F2225JA</t>
  </si>
  <si>
    <t>667-ECW-F2104JAQ</t>
  </si>
  <si>
    <t>Panasonic WFA</t>
  </si>
  <si>
    <t>or use audio grade film caps of your choice (max 25.4mm lead spacing)</t>
  </si>
  <si>
    <t>or use audio grade film caps of your choice (max 52mm lead spacing)</t>
  </si>
  <si>
    <t>or Vishay MPK1839 75-MKP1839410163</t>
  </si>
  <si>
    <t>or Kemet 80-C4GAFUC4220AA0J</t>
  </si>
  <si>
    <t>&lt;-- maximum value, can be up to ~30% smaller.</t>
  </si>
  <si>
    <t>mouser part no.</t>
  </si>
  <si>
    <t>-</t>
  </si>
  <si>
    <t>lookup values</t>
  </si>
  <si>
    <r>
      <rPr>
        <i/>
        <sz val="11"/>
        <color theme="1"/>
        <rFont val="Calibri"/>
        <family val="2"/>
        <scheme val="minor"/>
      </rPr>
      <t>Cut to the chase</t>
    </r>
    <r>
      <rPr>
        <sz val="11"/>
        <color theme="1"/>
        <rFont val="Calibri"/>
        <family val="2"/>
        <scheme val="minor"/>
      </rPr>
      <t xml:space="preserve"> (results from worksheets 2,3):</t>
    </r>
  </si>
  <si>
    <t>660-MF1/4DC6812F</t>
  </si>
  <si>
    <t>660-MF1/4DC2492F</t>
  </si>
  <si>
    <t>660-MF1/4DC2002F</t>
  </si>
  <si>
    <t>660-MF1/4DC1822F</t>
  </si>
  <si>
    <t>660-MF1/4DC1692F</t>
  </si>
  <si>
    <t>660-MF1/4DC1582F</t>
  </si>
  <si>
    <t>660-MF1/4DC1472F</t>
  </si>
  <si>
    <t>660-MF1/4DC1372F</t>
  </si>
  <si>
    <t>28.7k</t>
  </si>
  <si>
    <t>660-MF1/4DC2872F</t>
  </si>
  <si>
    <t>jumper</t>
  </si>
  <si>
    <t>517-952-10</t>
  </si>
  <si>
    <t>3M series 929</t>
  </si>
  <si>
    <t>517-929647-01-03-EU</t>
  </si>
  <si>
    <t>0.1" pin header, 3 pos.</t>
  </si>
  <si>
    <t>shorting jumper, blue</t>
  </si>
  <si>
    <t>660-MF1/4DC2213F</t>
  </si>
  <si>
    <t>221k</t>
  </si>
  <si>
    <t>ceramic bypass capacitors for the power supply</t>
  </si>
  <si>
    <t>220 uF/10V</t>
  </si>
  <si>
    <t>647-UFW1A221MED</t>
  </si>
  <si>
    <t>660-MF1/4DC4752F</t>
  </si>
  <si>
    <t>&lt;-- gate pinch off voltage</t>
  </si>
  <si>
    <t>&lt;-- operating point drain-source current</t>
  </si>
  <si>
    <t>&lt;-- the pinch off voltage (calculated in 1.)</t>
  </si>
  <si>
    <t>R_source (bypassed)</t>
  </si>
  <si>
    <t>R_source (bypass switched)</t>
  </si>
  <si>
    <t>h_eo</t>
  </si>
  <si>
    <t>circuit gain, mm (short pin 2-3)</t>
  </si>
  <si>
    <t>circuit gain, mc (short pin 1-2)</t>
  </si>
  <si>
    <t>&lt;- estimated drain slope characteristic</t>
  </si>
  <si>
    <t>&lt;- open loop gain</t>
  </si>
  <si>
    <t>&lt;- feedback</t>
  </si>
  <si>
    <t>&lt;-- calculated resistance</t>
  </si>
  <si>
    <t>1.3-1.4</t>
  </si>
  <si>
    <t>1.4-1.5</t>
  </si>
  <si>
    <t>1.5-1.6</t>
  </si>
  <si>
    <t>1.6-1.7</t>
  </si>
  <si>
    <t>R_drain, effective</t>
  </si>
  <si>
    <t>or any general purpose rectifier diode 1A 100V or greater</t>
  </si>
  <si>
    <t>&lt;-- the saturation drain current (calculated in 1.)</t>
  </si>
  <si>
    <t>** add cartridge loading components as needed in parallel with R1.</t>
  </si>
  <si>
    <t>R1**</t>
  </si>
  <si>
    <t>imported from calculation worksheet</t>
  </si>
  <si>
    <t>512-J113</t>
  </si>
  <si>
    <t>TO-92 n-channel DSG jfet (also available Digikey J113FS-ND, ebay and elsewhere)</t>
  </si>
  <si>
    <t>553-VPT36-1390</t>
  </si>
  <si>
    <t>2x18 VAC 50 VA</t>
  </si>
  <si>
    <t>Triad 50VA 2x18 VAC</t>
  </si>
  <si>
    <t>Smaller VA rating also fine. 2x15, 2x16 VAC secondary also OK. Use 2 for dual mono.</t>
  </si>
  <si>
    <t>C9-17</t>
  </si>
  <si>
    <t>660-MF1/4DC22R1F</t>
  </si>
  <si>
    <t>J1,2</t>
  </si>
  <si>
    <t>R24</t>
  </si>
  <si>
    <t>R23</t>
  </si>
  <si>
    <t>R19,20</t>
  </si>
  <si>
    <t>R18</t>
  </si>
  <si>
    <t>R17</t>
  </si>
  <si>
    <t>R14-16</t>
  </si>
  <si>
    <t>R13</t>
  </si>
  <si>
    <t>R8</t>
  </si>
  <si>
    <t>R5,12</t>
  </si>
  <si>
    <t>R3,4,10,11</t>
  </si>
  <si>
    <t>R2,9</t>
  </si>
  <si>
    <t>R_drain (R2, R9)</t>
  </si>
  <si>
    <t>R3, R10</t>
  </si>
  <si>
    <t>R4, R11</t>
  </si>
  <si>
    <t>R3+4,10+11</t>
  </si>
  <si>
    <t>R18 (and R21)</t>
  </si>
  <si>
    <t>TO-126 pnp  transistor (alternate BD138)</t>
  </si>
  <si>
    <t>TO-126 npn  transistor (alternate BD137)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</si>
</sst>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0"/>
      <color theme="4"/>
      <name val="Calibri"/>
      <family val="2"/>
      <scheme val="minor"/>
    </font>
    <font>
      <sz val="11"/>
      <color theme="0" tint="-0.499984740745262"/>
      <name val="Calibri"/>
      <family val="2"/>
      <scheme val="minor"/>
    </font>
    <font>
      <sz val="9"/>
      <color rgb="FF333333"/>
      <name val="Arial"/>
      <family val="2"/>
    </font>
    <font>
      <i/>
      <sz val="11"/>
      <color theme="1"/>
      <name val="Calibri"/>
      <family val="2"/>
      <scheme val="minor"/>
    </font>
    <font>
      <u/>
      <sz val="11"/>
      <color theme="1"/>
      <name val="Calibri"/>
      <family val="2"/>
      <scheme val="minor"/>
    </font>
    <font>
      <sz val="10"/>
      <color rgb="FF0070C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s>
  <borders count="13">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5" fillId="0" borderId="0"/>
  </cellStyleXfs>
  <cellXfs count="115">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wrapText="1"/>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1" fillId="0" borderId="0" xfId="0" quotePrefix="1" applyFont="1" applyFill="1" applyBorder="1" applyAlignment="1">
      <alignment horizontal="center"/>
    </xf>
    <xf numFmtId="0" fontId="1" fillId="0" borderId="0" xfId="0" applyFont="1" applyFill="1" applyAlignment="1"/>
    <xf numFmtId="0" fontId="1" fillId="0" borderId="0" xfId="0" applyFont="1" applyFill="1" applyBorder="1" applyAlignment="1">
      <alignment horizontal="center" wrapText="1"/>
    </xf>
    <xf numFmtId="0" fontId="4" fillId="0" borderId="0" xfId="0" applyFont="1" applyFill="1" applyBorder="1" applyAlignment="1">
      <alignment horizontal="left" wrapText="1"/>
    </xf>
    <xf numFmtId="0" fontId="6" fillId="0" borderId="0" xfId="0" applyFont="1" applyFill="1" applyBorder="1" applyAlignment="1">
      <alignment horizontal="left"/>
    </xf>
    <xf numFmtId="0" fontId="1" fillId="0" borderId="0" xfId="0" applyFont="1" applyFill="1" applyBorder="1"/>
    <xf numFmtId="0" fontId="6" fillId="0" borderId="0" xfId="0" applyFont="1" applyFill="1"/>
    <xf numFmtId="0" fontId="6" fillId="0" borderId="0" xfId="0" quotePrefix="1" applyFont="1" applyFill="1" applyBorder="1" applyAlignment="1">
      <alignment horizontal="left"/>
    </xf>
    <xf numFmtId="0" fontId="8" fillId="0" borderId="0" xfId="0" applyFont="1"/>
    <xf numFmtId="1" fontId="0" fillId="0" borderId="0" xfId="0" applyNumberFormat="1"/>
    <xf numFmtId="0" fontId="0" fillId="0" borderId="0" xfId="0" applyBorder="1"/>
    <xf numFmtId="0" fontId="10" fillId="0" borderId="0" xfId="0" applyFont="1" applyFill="1" applyBorder="1"/>
    <xf numFmtId="0" fontId="9" fillId="2" borderId="0" xfId="0" applyFont="1" applyFill="1"/>
    <xf numFmtId="0" fontId="0" fillId="3" borderId="0" xfId="0" applyFill="1"/>
    <xf numFmtId="0" fontId="10" fillId="3" borderId="0" xfId="0" applyFont="1" applyFill="1" applyBorder="1"/>
    <xf numFmtId="0" fontId="0" fillId="0" borderId="0" xfId="0" applyAlignment="1">
      <alignment horizontal="center"/>
    </xf>
    <xf numFmtId="1" fontId="0" fillId="0" borderId="0" xfId="0" applyNumberFormat="1" applyAlignment="1">
      <alignment horizontal="center"/>
    </xf>
    <xf numFmtId="0" fontId="0" fillId="0" borderId="0" xfId="0" applyBorder="1" applyAlignment="1">
      <alignment horizontal="center"/>
    </xf>
    <xf numFmtId="0" fontId="0" fillId="3" borderId="0" xfId="0" applyFill="1" applyBorder="1" applyAlignment="1">
      <alignment horizontal="center"/>
    </xf>
    <xf numFmtId="1" fontId="9" fillId="2" borderId="0" xfId="0" applyNumberFormat="1" applyFont="1" applyFill="1" applyAlignment="1">
      <alignment horizontal="center"/>
    </xf>
    <xf numFmtId="0" fontId="0" fillId="3" borderId="0" xfId="0" quotePrefix="1" applyFill="1"/>
    <xf numFmtId="0" fontId="11" fillId="0" borderId="0" xfId="0" applyFont="1" applyFill="1"/>
    <xf numFmtId="0" fontId="9" fillId="2" borderId="0" xfId="0" applyFont="1" applyFill="1" applyBorder="1"/>
    <xf numFmtId="0" fontId="10" fillId="0" borderId="0" xfId="0" applyFont="1" applyFill="1"/>
    <xf numFmtId="0" fontId="10" fillId="0" borderId="0" xfId="0" applyFont="1" applyFill="1" applyBorder="1" applyAlignment="1">
      <alignment horizontal="center"/>
    </xf>
    <xf numFmtId="1" fontId="10" fillId="3" borderId="0" xfId="0" applyNumberFormat="1" applyFont="1" applyFill="1" applyBorder="1" applyAlignment="1">
      <alignment horizontal="center"/>
    </xf>
    <xf numFmtId="2" fontId="9" fillId="2" borderId="0" xfId="0" applyNumberFormat="1" applyFont="1" applyFill="1" applyBorder="1" applyAlignment="1">
      <alignment horizontal="center"/>
    </xf>
    <xf numFmtId="2" fontId="10" fillId="0" borderId="0" xfId="0" applyNumberFormat="1" applyFont="1" applyFill="1" applyBorder="1" applyAlignment="1">
      <alignment horizontal="center"/>
    </xf>
    <xf numFmtId="0" fontId="0" fillId="0" borderId="0" xfId="0" applyFill="1"/>
    <xf numFmtId="0" fontId="0" fillId="0" borderId="0" xfId="0" applyFill="1" applyAlignment="1">
      <alignment horizontal="center"/>
    </xf>
    <xf numFmtId="0" fontId="0" fillId="0" borderId="0" xfId="0" applyFont="1" applyFill="1"/>
    <xf numFmtId="1" fontId="0" fillId="0" borderId="0" xfId="0" applyNumberFormat="1" applyFont="1" applyFill="1" applyAlignment="1">
      <alignment horizontal="center"/>
    </xf>
    <xf numFmtId="1" fontId="0" fillId="0" borderId="0" xfId="0" applyNumberFormat="1" applyFill="1" applyAlignment="1">
      <alignment horizontal="center"/>
    </xf>
    <xf numFmtId="0" fontId="10" fillId="0" borderId="0" xfId="0" applyNumberFormat="1" applyFont="1" applyFill="1" applyBorder="1"/>
    <xf numFmtId="0" fontId="10" fillId="0" borderId="0" xfId="0" applyNumberFormat="1" applyFont="1" applyFill="1" applyBorder="1" applyAlignment="1">
      <alignment horizontal="center"/>
    </xf>
    <xf numFmtId="0" fontId="10" fillId="3" borderId="0" xfId="0" applyFont="1" applyFill="1"/>
    <xf numFmtId="0" fontId="1" fillId="3" borderId="0" xfId="0" applyFont="1" applyFill="1" applyBorder="1" applyAlignment="1">
      <alignment horizontal="center"/>
    </xf>
    <xf numFmtId="0" fontId="7" fillId="3" borderId="0" xfId="0" applyFont="1" applyFill="1" applyBorder="1" applyAlignment="1">
      <alignment horizontal="center"/>
    </xf>
    <xf numFmtId="0" fontId="0" fillId="3" borderId="0" xfId="0" applyFont="1" applyFill="1"/>
    <xf numFmtId="0" fontId="7" fillId="0" borderId="0" xfId="0" applyFont="1" applyFill="1" applyBorder="1" applyAlignment="1">
      <alignment horizontal="center"/>
    </xf>
    <xf numFmtId="0" fontId="10" fillId="0" borderId="0" xfId="0" applyFont="1"/>
    <xf numFmtId="0" fontId="10" fillId="0" borderId="0" xfId="0" applyFont="1" applyAlignment="1">
      <alignment horizontal="center"/>
    </xf>
    <xf numFmtId="0" fontId="9" fillId="0" borderId="0" xfId="0" applyNumberFormat="1" applyFont="1" applyFill="1" applyBorder="1"/>
    <xf numFmtId="0" fontId="8" fillId="0" borderId="0" xfId="0" applyFont="1" applyBorder="1" applyAlignment="1">
      <alignment horizontal="center"/>
    </xf>
    <xf numFmtId="0" fontId="0" fillId="0" borderId="0" xfId="0" applyNumberFormat="1"/>
    <xf numFmtId="164" fontId="0" fillId="0" borderId="0" xfId="0" applyNumberFormat="1" applyAlignment="1">
      <alignment horizontal="center"/>
    </xf>
    <xf numFmtId="164" fontId="0" fillId="0" borderId="0" xfId="0" applyNumberFormat="1" applyBorder="1" applyAlignment="1">
      <alignment horizontal="center"/>
    </xf>
    <xf numFmtId="2" fontId="0" fillId="0" borderId="0" xfId="0" applyNumberFormat="1" applyAlignment="1">
      <alignment horizontal="center"/>
    </xf>
    <xf numFmtId="2" fontId="0" fillId="0" borderId="0" xfId="0" applyNumberFormat="1" applyFill="1" applyAlignment="1">
      <alignment horizontal="center"/>
    </xf>
    <xf numFmtId="0" fontId="0" fillId="0" borderId="2" xfId="0" applyBorder="1" applyAlignment="1">
      <alignment horizontal="center"/>
    </xf>
    <xf numFmtId="0" fontId="0" fillId="0" borderId="1" xfId="0" applyBorder="1"/>
    <xf numFmtId="0" fontId="10" fillId="3" borderId="3" xfId="0" applyFont="1" applyFill="1" applyBorder="1" applyAlignment="1">
      <alignment horizontal="center"/>
    </xf>
    <xf numFmtId="0" fontId="10" fillId="3" borderId="4" xfId="0" applyFont="1" applyFill="1" applyBorder="1" applyAlignment="1">
      <alignment horizontal="center"/>
    </xf>
    <xf numFmtId="2" fontId="10" fillId="3" borderId="3" xfId="0" applyNumberFormat="1" applyFont="1" applyFill="1" applyBorder="1" applyAlignment="1">
      <alignment horizontal="center"/>
    </xf>
    <xf numFmtId="1" fontId="10" fillId="3" borderId="4" xfId="0" applyNumberFormat="1" applyFont="1" applyFill="1" applyBorder="1" applyAlignment="1">
      <alignment horizontal="center"/>
    </xf>
    <xf numFmtId="1" fontId="0" fillId="3" borderId="0" xfId="0" applyNumberFormat="1" applyFill="1"/>
    <xf numFmtId="2" fontId="0" fillId="3" borderId="5" xfId="0" applyNumberFormat="1" applyFill="1" applyBorder="1" applyAlignment="1">
      <alignment horizontal="center"/>
    </xf>
    <xf numFmtId="0" fontId="0" fillId="0" borderId="0" xfId="0" applyFont="1"/>
    <xf numFmtId="0" fontId="0" fillId="0" borderId="0" xfId="0" quotePrefix="1" applyFont="1" applyAlignment="1">
      <alignment horizontal="center"/>
    </xf>
    <xf numFmtId="0" fontId="0" fillId="0" borderId="0" xfId="0" applyFont="1" applyBorder="1"/>
    <xf numFmtId="0" fontId="13" fillId="0" borderId="0" xfId="0" applyFont="1"/>
    <xf numFmtId="0" fontId="8" fillId="2" borderId="0" xfId="0" applyFont="1" applyFill="1"/>
    <xf numFmtId="0" fontId="8" fillId="2" borderId="0" xfId="0" applyFont="1" applyFill="1" applyAlignment="1">
      <alignment horizontal="center"/>
    </xf>
    <xf numFmtId="1" fontId="10" fillId="0" borderId="0" xfId="0" applyNumberFormat="1" applyFont="1" applyFill="1" applyBorder="1"/>
    <xf numFmtId="1" fontId="10" fillId="0" borderId="0" xfId="0" applyNumberFormat="1" applyFont="1" applyFill="1" applyBorder="1" applyAlignment="1">
      <alignment horizontal="center"/>
    </xf>
    <xf numFmtId="1" fontId="10" fillId="2" borderId="0" xfId="0" applyNumberFormat="1" applyFont="1" applyFill="1" applyBorder="1"/>
    <xf numFmtId="0" fontId="10" fillId="2" borderId="0" xfId="0" applyNumberFormat="1" applyFont="1" applyFill="1" applyBorder="1" applyAlignment="1">
      <alignment horizontal="center"/>
    </xf>
    <xf numFmtId="0" fontId="15" fillId="0" borderId="0" xfId="0" applyFont="1" applyBorder="1"/>
    <xf numFmtId="0" fontId="10" fillId="0" borderId="0" xfId="0" quotePrefix="1" applyFont="1" applyFill="1" applyBorder="1" applyAlignment="1">
      <alignment horizontal="center"/>
    </xf>
    <xf numFmtId="0" fontId="10" fillId="0" borderId="2" xfId="0" quotePrefix="1" applyFont="1" applyFill="1" applyBorder="1" applyAlignment="1">
      <alignment horizontal="center"/>
    </xf>
    <xf numFmtId="0" fontId="10" fillId="0" borderId="0" xfId="0" applyFont="1" applyBorder="1"/>
    <xf numFmtId="0" fontId="12" fillId="0" borderId="0" xfId="0" applyFont="1" applyBorder="1" applyAlignment="1">
      <alignment horizontal="center"/>
    </xf>
    <xf numFmtId="0" fontId="0" fillId="0" borderId="0" xfId="0" quotePrefix="1" applyBorder="1" applyAlignment="1">
      <alignment horizontal="center"/>
    </xf>
    <xf numFmtId="0" fontId="0" fillId="0" borderId="0" xfId="0" applyFill="1" applyBorder="1" applyAlignment="1">
      <alignment horizontal="center"/>
    </xf>
    <xf numFmtId="0" fontId="12" fillId="0" borderId="0" xfId="0" applyNumberFormat="1" applyFont="1" applyBorder="1" applyAlignment="1">
      <alignment horizontal="center"/>
    </xf>
    <xf numFmtId="0" fontId="12" fillId="0" borderId="0" xfId="0" applyNumberFormat="1" applyFont="1" applyFill="1" applyBorder="1" applyAlignment="1">
      <alignment horizontal="center"/>
    </xf>
    <xf numFmtId="0" fontId="1" fillId="0" borderId="6" xfId="0" applyFont="1" applyFill="1" applyBorder="1" applyAlignment="1">
      <alignment horizontal="center"/>
    </xf>
    <xf numFmtId="0" fontId="1" fillId="0" borderId="1" xfId="0" applyFont="1" applyFill="1" applyBorder="1" applyAlignment="1">
      <alignment horizontal="center"/>
    </xf>
    <xf numFmtId="0" fontId="1" fillId="2" borderId="1" xfId="0" applyFont="1" applyFill="1" applyBorder="1" applyAlignment="1">
      <alignment horizontal="center"/>
    </xf>
    <xf numFmtId="0" fontId="4" fillId="0" borderId="7" xfId="0" applyFont="1" applyFill="1" applyBorder="1" applyAlignment="1">
      <alignment horizontal="left" wrapText="1"/>
    </xf>
    <xf numFmtId="0" fontId="1" fillId="3" borderId="8" xfId="0" applyFont="1" applyFill="1" applyBorder="1" applyAlignment="1">
      <alignment horizontal="center"/>
    </xf>
    <xf numFmtId="0" fontId="4" fillId="3" borderId="9" xfId="0" applyFont="1" applyFill="1" applyBorder="1" applyAlignment="1">
      <alignment horizontal="left" wrapText="1"/>
    </xf>
    <xf numFmtId="0" fontId="1" fillId="0" borderId="8" xfId="0" applyFont="1" applyFill="1" applyBorder="1" applyAlignment="1">
      <alignment horizontal="center"/>
    </xf>
    <xf numFmtId="0" fontId="4" fillId="0" borderId="9" xfId="0" applyFont="1" applyFill="1" applyBorder="1" applyAlignment="1">
      <alignment horizontal="left" wrapText="1"/>
    </xf>
    <xf numFmtId="0" fontId="4" fillId="0" borderId="9" xfId="0" applyFont="1" applyFill="1" applyBorder="1" applyAlignment="1">
      <alignment horizontal="left"/>
    </xf>
    <xf numFmtId="0" fontId="1" fillId="0" borderId="10" xfId="0" applyFont="1" applyFill="1" applyBorder="1" applyAlignment="1">
      <alignment horizontal="center"/>
    </xf>
    <xf numFmtId="0" fontId="1" fillId="0" borderId="11" xfId="0" applyFont="1" applyFill="1" applyBorder="1" applyAlignment="1">
      <alignment horizontal="center"/>
    </xf>
    <xf numFmtId="0" fontId="1" fillId="2" borderId="11" xfId="0" applyFont="1" applyFill="1" applyBorder="1" applyAlignment="1">
      <alignment horizontal="center"/>
    </xf>
    <xf numFmtId="0" fontId="4" fillId="0" borderId="12" xfId="0" applyFont="1" applyFill="1" applyBorder="1" applyAlignment="1">
      <alignment horizontal="left" wrapText="1"/>
    </xf>
    <xf numFmtId="0" fontId="0" fillId="0" borderId="0" xfId="0" quotePrefix="1" applyFill="1" applyBorder="1" applyAlignment="1">
      <alignment horizontal="center"/>
    </xf>
    <xf numFmtId="0" fontId="12" fillId="0" borderId="0" xfId="0" applyFont="1" applyFill="1" applyBorder="1"/>
    <xf numFmtId="0" fontId="12" fillId="0" borderId="0" xfId="0" applyFont="1" applyFill="1" applyBorder="1" applyAlignment="1">
      <alignment horizontal="center"/>
    </xf>
    <xf numFmtId="0" fontId="12" fillId="0" borderId="0" xfId="0" applyNumberFormat="1" applyFont="1" applyFill="1" applyBorder="1"/>
    <xf numFmtId="1" fontId="0" fillId="3" borderId="5" xfId="0" applyNumberFormat="1" applyFont="1" applyFill="1" applyBorder="1" applyAlignment="1">
      <alignment horizontal="center"/>
    </xf>
    <xf numFmtId="2" fontId="10" fillId="3" borderId="0" xfId="0" applyNumberFormat="1" applyFont="1" applyFill="1" applyAlignment="1">
      <alignment horizontal="center"/>
    </xf>
    <xf numFmtId="0" fontId="10" fillId="0" borderId="0" xfId="0" applyFont="1" applyBorder="1" applyAlignment="1">
      <alignment horizontal="center"/>
    </xf>
    <xf numFmtId="0" fontId="10" fillId="0" borderId="1" xfId="0" applyFont="1" applyBorder="1" applyAlignment="1">
      <alignment horizontal="center"/>
    </xf>
    <xf numFmtId="0" fontId="0" fillId="0" borderId="1" xfId="0" applyBorder="1" applyAlignment="1">
      <alignment horizontal="center"/>
    </xf>
    <xf numFmtId="0" fontId="0" fillId="0" borderId="2" xfId="0" applyBorder="1"/>
    <xf numFmtId="0" fontId="10" fillId="2" borderId="0" xfId="0" quotePrefix="1" applyFont="1" applyFill="1" applyBorder="1" applyAlignment="1">
      <alignment horizontal="center"/>
    </xf>
    <xf numFmtId="0" fontId="0" fillId="2" borderId="0" xfId="0" applyFill="1" applyBorder="1" applyAlignment="1">
      <alignment horizontal="center"/>
    </xf>
    <xf numFmtId="0" fontId="1" fillId="0" borderId="0" xfId="0" applyFont="1" applyFill="1" applyAlignment="1">
      <alignment horizontal="center" wrapText="1"/>
    </xf>
    <xf numFmtId="0" fontId="16" fillId="0" borderId="8" xfId="0" applyFont="1" applyFill="1" applyBorder="1" applyAlignment="1">
      <alignment horizontal="center"/>
    </xf>
    <xf numFmtId="0" fontId="16" fillId="0" borderId="0" xfId="0" applyFont="1" applyFill="1" applyBorder="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1</xdr:rowOff>
    </xdr:from>
    <xdr:to>
      <xdr:col>10</xdr:col>
      <xdr:colOff>0</xdr:colOff>
      <xdr:row>21</xdr:row>
      <xdr:rowOff>61914</xdr:rowOff>
    </xdr:to>
    <xdr:sp macro="" textlink="">
      <xdr:nvSpPr>
        <xdr:cNvPr id="2" name="TextBox 1"/>
        <xdr:cNvSpPr txBox="1"/>
      </xdr:nvSpPr>
      <xdr:spPr>
        <a:xfrm>
          <a:off x="647700" y="361951"/>
          <a:ext cx="5829300" cy="35004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CrystalFET</a:t>
          </a:r>
          <a:r>
            <a:rPr kumimoji="1" lang="en-US" altLang="ja-JP" sz="1800" baseline="0"/>
            <a:t> Phono Preamplifier</a:t>
          </a:r>
          <a:endParaRPr kumimoji="1" lang="en-US" altLang="ja-JP" sz="1800"/>
        </a:p>
        <a:p>
          <a:pPr algn="ctr"/>
          <a:endParaRPr kumimoji="1" lang="en-US" altLang="ja-JP" sz="1100"/>
        </a:p>
        <a:p>
          <a:pPr algn="ctr"/>
          <a:r>
            <a:rPr kumimoji="1" lang="en-US" altLang="ja-JP" sz="1100" i="1"/>
            <a:t>revision</a:t>
          </a:r>
          <a:r>
            <a:rPr kumimoji="1" lang="en-US" altLang="ja-JP" sz="1100" i="1" baseline="0"/>
            <a:t> 1.4e4</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18</xdr:col>
      <xdr:colOff>265290</xdr:colOff>
      <xdr:row>51</xdr:row>
      <xdr:rowOff>151273</xdr:rowOff>
    </xdr:to>
    <xdr:pic>
      <xdr:nvPicPr>
        <xdr:cNvPr id="3" name="Picture 2"/>
        <xdr:cNvPicPr>
          <a:picLocks noChangeAspect="1"/>
        </xdr:cNvPicPr>
      </xdr:nvPicPr>
      <xdr:blipFill>
        <a:blip xmlns:r="http://schemas.openxmlformats.org/officeDocument/2006/relationships" r:embed="rId1"/>
        <a:stretch>
          <a:fillRect/>
        </a:stretch>
      </xdr:blipFill>
      <xdr:spPr>
        <a:xfrm>
          <a:off x="647700" y="361950"/>
          <a:ext cx="11276190" cy="90190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34</xdr:col>
      <xdr:colOff>483043</xdr:colOff>
      <xdr:row>83</xdr:row>
      <xdr:rowOff>55311</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361950"/>
          <a:ext cx="21857143" cy="147142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60</xdr:row>
      <xdr:rowOff>0</xdr:rowOff>
    </xdr:from>
    <xdr:to>
      <xdr:col>5</xdr:col>
      <xdr:colOff>530225</xdr:colOff>
      <xdr:row>69</xdr:row>
      <xdr:rowOff>107950</xdr:rowOff>
    </xdr:to>
    <xdr:sp macro="" textlink="">
      <xdr:nvSpPr>
        <xdr:cNvPr id="140" name="TextBox 139"/>
        <xdr:cNvSpPr txBox="1"/>
      </xdr:nvSpPr>
      <xdr:spPr>
        <a:xfrm>
          <a:off x="1168400" y="10236200"/>
          <a:ext cx="6467475" cy="1593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t>RCA input jacks and ground lug.</a:t>
          </a:r>
        </a:p>
        <a:p>
          <a:r>
            <a:rPr lang="en-US" sz="1100" baseline="0"/>
            <a:t>Power indicator LED and 10k resistor (connect between V++ and COM).</a:t>
          </a:r>
        </a:p>
        <a:p>
          <a:r>
            <a:rPr lang="en-US" sz="1100" baseline="0"/>
            <a:t>Internal chassis wiring.</a:t>
          </a:r>
        </a:p>
        <a:p>
          <a:endParaRPr lang="en-US" sz="1100" baseline="0"/>
        </a:p>
        <a:p>
          <a:endParaRPr lang="en-US" sz="1100"/>
        </a:p>
      </xdr:txBody>
    </xdr:sp>
    <xdr:clientData/>
  </xdr:twoCellAnchor>
  <xdr:twoCellAnchor>
    <xdr:from>
      <xdr:col>2</xdr:col>
      <xdr:colOff>923924</xdr:colOff>
      <xdr:row>41</xdr:row>
      <xdr:rowOff>138113</xdr:rowOff>
    </xdr:from>
    <xdr:to>
      <xdr:col>5</xdr:col>
      <xdr:colOff>236821</xdr:colOff>
      <xdr:row>53</xdr:row>
      <xdr:rowOff>147357</xdr:rowOff>
    </xdr:to>
    <xdr:grpSp>
      <xdr:nvGrpSpPr>
        <xdr:cNvPr id="5" name="Group 4"/>
        <xdr:cNvGrpSpPr/>
      </xdr:nvGrpSpPr>
      <xdr:grpSpPr>
        <a:xfrm>
          <a:off x="3976687" y="6972301"/>
          <a:ext cx="4313522" cy="2009494"/>
          <a:chOff x="1984860" y="2303648"/>
          <a:chExt cx="4313522" cy="2009494"/>
        </a:xfrm>
      </xdr:grpSpPr>
      <xdr:sp macro="" textlink="">
        <xdr:nvSpPr>
          <xdr:cNvPr id="6" name="Line 4"/>
          <xdr:cNvSpPr>
            <a:spLocks noChangeShapeType="1"/>
          </xdr:cNvSpPr>
        </xdr:nvSpPr>
        <xdr:spPr bwMode="auto">
          <a:xfrm>
            <a:off x="3924275" y="2606502"/>
            <a:ext cx="0" cy="935038"/>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7" name="Line 8"/>
          <xdr:cNvSpPr>
            <a:spLocks noChangeShapeType="1"/>
          </xdr:cNvSpPr>
        </xdr:nvSpPr>
        <xdr:spPr bwMode="auto">
          <a:xfrm>
            <a:off x="3995713" y="2606502"/>
            <a:ext cx="0" cy="935038"/>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 name="Line 9"/>
          <xdr:cNvSpPr>
            <a:spLocks noChangeShapeType="1"/>
          </xdr:cNvSpPr>
        </xdr:nvSpPr>
        <xdr:spPr bwMode="auto">
          <a:xfrm>
            <a:off x="4211613" y="2606502"/>
            <a:ext cx="360362"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9" name="Line 10"/>
          <xdr:cNvSpPr>
            <a:spLocks noChangeShapeType="1"/>
          </xdr:cNvSpPr>
        </xdr:nvSpPr>
        <xdr:spPr bwMode="auto">
          <a:xfrm>
            <a:off x="4211613" y="2966864"/>
            <a:ext cx="360362"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0" name="Line 11"/>
          <xdr:cNvSpPr>
            <a:spLocks noChangeShapeType="1"/>
          </xdr:cNvSpPr>
        </xdr:nvSpPr>
        <xdr:spPr bwMode="auto">
          <a:xfrm>
            <a:off x="4211613" y="3109739"/>
            <a:ext cx="360362"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1" name="Line 12"/>
          <xdr:cNvSpPr>
            <a:spLocks noChangeShapeType="1"/>
          </xdr:cNvSpPr>
        </xdr:nvSpPr>
        <xdr:spPr bwMode="auto">
          <a:xfrm>
            <a:off x="4211613" y="3470101"/>
            <a:ext cx="360362"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nvGrpSpPr>
          <xdr:cNvPr id="12" name="Group 11"/>
          <xdr:cNvGrpSpPr>
            <a:grpSpLocks/>
          </xdr:cNvGrpSpPr>
        </xdr:nvGrpSpPr>
        <xdr:grpSpPr bwMode="auto">
          <a:xfrm flipH="1">
            <a:off x="4138588" y="2606505"/>
            <a:ext cx="73025" cy="360365"/>
            <a:chOff x="2925" y="1480"/>
            <a:chExt cx="136" cy="1088"/>
          </a:xfrm>
        </xdr:grpSpPr>
        <xdr:grpSp>
          <xdr:nvGrpSpPr>
            <xdr:cNvPr id="125" name="Group 124"/>
            <xdr:cNvGrpSpPr>
              <a:grpSpLocks/>
            </xdr:cNvGrpSpPr>
          </xdr:nvGrpSpPr>
          <xdr:grpSpPr bwMode="auto">
            <a:xfrm>
              <a:off x="2925" y="2024"/>
              <a:ext cx="136" cy="272"/>
              <a:chOff x="2925" y="1130"/>
              <a:chExt cx="576" cy="1152"/>
            </a:xfrm>
          </xdr:grpSpPr>
          <xdr:sp macro="" textlink="">
            <xdr:nvSpPr>
              <xdr:cNvPr id="135" name="Arc 30"/>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36" name="Arc 31"/>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26" name="Group 125"/>
            <xdr:cNvGrpSpPr>
              <a:grpSpLocks/>
            </xdr:cNvGrpSpPr>
          </xdr:nvGrpSpPr>
          <xdr:grpSpPr bwMode="auto">
            <a:xfrm>
              <a:off x="2925" y="2296"/>
              <a:ext cx="136" cy="272"/>
              <a:chOff x="2925" y="1130"/>
              <a:chExt cx="576" cy="1152"/>
            </a:xfrm>
          </xdr:grpSpPr>
          <xdr:sp macro="" textlink="">
            <xdr:nvSpPr>
              <xdr:cNvPr id="133" name="Arc 33"/>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34" name="Arc 34"/>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27" name="Group 126"/>
            <xdr:cNvGrpSpPr>
              <a:grpSpLocks/>
            </xdr:cNvGrpSpPr>
          </xdr:nvGrpSpPr>
          <xdr:grpSpPr bwMode="auto">
            <a:xfrm>
              <a:off x="2925" y="1480"/>
              <a:ext cx="136" cy="272"/>
              <a:chOff x="2925" y="1130"/>
              <a:chExt cx="576" cy="1152"/>
            </a:xfrm>
          </xdr:grpSpPr>
          <xdr:sp macro="" textlink="">
            <xdr:nvSpPr>
              <xdr:cNvPr id="131" name="Arc 36"/>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32" name="Arc 37"/>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28" name="Group 127"/>
            <xdr:cNvGrpSpPr>
              <a:grpSpLocks/>
            </xdr:cNvGrpSpPr>
          </xdr:nvGrpSpPr>
          <xdr:grpSpPr bwMode="auto">
            <a:xfrm>
              <a:off x="2925" y="1752"/>
              <a:ext cx="136" cy="272"/>
              <a:chOff x="2925" y="1130"/>
              <a:chExt cx="576" cy="1152"/>
            </a:xfrm>
          </xdr:grpSpPr>
          <xdr:sp macro="" textlink="">
            <xdr:nvSpPr>
              <xdr:cNvPr id="129" name="Arc 39"/>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30" name="Arc 40"/>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grpSp>
        <xdr:nvGrpSpPr>
          <xdr:cNvPr id="13" name="Group 12"/>
          <xdr:cNvGrpSpPr>
            <a:grpSpLocks/>
          </xdr:cNvGrpSpPr>
        </xdr:nvGrpSpPr>
        <xdr:grpSpPr bwMode="auto">
          <a:xfrm flipH="1">
            <a:off x="4138588" y="3109742"/>
            <a:ext cx="73025" cy="360365"/>
            <a:chOff x="2925" y="1480"/>
            <a:chExt cx="136" cy="1088"/>
          </a:xfrm>
        </xdr:grpSpPr>
        <xdr:grpSp>
          <xdr:nvGrpSpPr>
            <xdr:cNvPr id="113" name="Group 112"/>
            <xdr:cNvGrpSpPr>
              <a:grpSpLocks/>
            </xdr:cNvGrpSpPr>
          </xdr:nvGrpSpPr>
          <xdr:grpSpPr bwMode="auto">
            <a:xfrm>
              <a:off x="2925" y="2024"/>
              <a:ext cx="136" cy="272"/>
              <a:chOff x="2925" y="1130"/>
              <a:chExt cx="576" cy="1152"/>
            </a:xfrm>
          </xdr:grpSpPr>
          <xdr:sp macro="" textlink="">
            <xdr:nvSpPr>
              <xdr:cNvPr id="123" name="Arc 43"/>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24" name="Arc 44"/>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14" name="Group 113"/>
            <xdr:cNvGrpSpPr>
              <a:grpSpLocks/>
            </xdr:cNvGrpSpPr>
          </xdr:nvGrpSpPr>
          <xdr:grpSpPr bwMode="auto">
            <a:xfrm>
              <a:off x="2925" y="2296"/>
              <a:ext cx="136" cy="272"/>
              <a:chOff x="2925" y="1130"/>
              <a:chExt cx="576" cy="1152"/>
            </a:xfrm>
          </xdr:grpSpPr>
          <xdr:sp macro="" textlink="">
            <xdr:nvSpPr>
              <xdr:cNvPr id="121" name="Arc 46"/>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22" name="Arc 47"/>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15" name="Group 114"/>
            <xdr:cNvGrpSpPr>
              <a:grpSpLocks/>
            </xdr:cNvGrpSpPr>
          </xdr:nvGrpSpPr>
          <xdr:grpSpPr bwMode="auto">
            <a:xfrm>
              <a:off x="2925" y="1480"/>
              <a:ext cx="136" cy="272"/>
              <a:chOff x="2925" y="1130"/>
              <a:chExt cx="576" cy="1152"/>
            </a:xfrm>
          </xdr:grpSpPr>
          <xdr:sp macro="" textlink="">
            <xdr:nvSpPr>
              <xdr:cNvPr id="119" name="Arc 49"/>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20" name="Arc 50"/>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16" name="Group 115"/>
            <xdr:cNvGrpSpPr>
              <a:grpSpLocks/>
            </xdr:cNvGrpSpPr>
          </xdr:nvGrpSpPr>
          <xdr:grpSpPr bwMode="auto">
            <a:xfrm>
              <a:off x="2925" y="1752"/>
              <a:ext cx="136" cy="272"/>
              <a:chOff x="2925" y="1130"/>
              <a:chExt cx="576" cy="1152"/>
            </a:xfrm>
          </xdr:grpSpPr>
          <xdr:sp macro="" textlink="">
            <xdr:nvSpPr>
              <xdr:cNvPr id="117" name="Arc 52"/>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18" name="Arc 53"/>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grpSp>
        <xdr:nvGrpSpPr>
          <xdr:cNvPr id="14" name="Group 13"/>
          <xdr:cNvGrpSpPr>
            <a:grpSpLocks/>
          </xdr:cNvGrpSpPr>
        </xdr:nvGrpSpPr>
        <xdr:grpSpPr bwMode="auto">
          <a:xfrm>
            <a:off x="3781400" y="2677942"/>
            <a:ext cx="69850" cy="360365"/>
            <a:chOff x="2925" y="1480"/>
            <a:chExt cx="136" cy="1088"/>
          </a:xfrm>
        </xdr:grpSpPr>
        <xdr:grpSp>
          <xdr:nvGrpSpPr>
            <xdr:cNvPr id="101" name="Group 100"/>
            <xdr:cNvGrpSpPr>
              <a:grpSpLocks/>
            </xdr:cNvGrpSpPr>
          </xdr:nvGrpSpPr>
          <xdr:grpSpPr bwMode="auto">
            <a:xfrm>
              <a:off x="2925" y="2024"/>
              <a:ext cx="136" cy="272"/>
              <a:chOff x="2925" y="1130"/>
              <a:chExt cx="576" cy="1152"/>
            </a:xfrm>
          </xdr:grpSpPr>
          <xdr:sp macro="" textlink="">
            <xdr:nvSpPr>
              <xdr:cNvPr id="111" name="Arc 56"/>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12" name="Arc 57"/>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02" name="Group 101"/>
            <xdr:cNvGrpSpPr>
              <a:grpSpLocks/>
            </xdr:cNvGrpSpPr>
          </xdr:nvGrpSpPr>
          <xdr:grpSpPr bwMode="auto">
            <a:xfrm>
              <a:off x="2925" y="2296"/>
              <a:ext cx="136" cy="272"/>
              <a:chOff x="2925" y="1130"/>
              <a:chExt cx="576" cy="1152"/>
            </a:xfrm>
          </xdr:grpSpPr>
          <xdr:sp macro="" textlink="">
            <xdr:nvSpPr>
              <xdr:cNvPr id="109" name="Arc 59"/>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10" name="Arc 60"/>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03" name="Group 102"/>
            <xdr:cNvGrpSpPr>
              <a:grpSpLocks/>
            </xdr:cNvGrpSpPr>
          </xdr:nvGrpSpPr>
          <xdr:grpSpPr bwMode="auto">
            <a:xfrm>
              <a:off x="2925" y="1480"/>
              <a:ext cx="136" cy="272"/>
              <a:chOff x="2925" y="1130"/>
              <a:chExt cx="576" cy="1152"/>
            </a:xfrm>
          </xdr:grpSpPr>
          <xdr:sp macro="" textlink="">
            <xdr:nvSpPr>
              <xdr:cNvPr id="107" name="Arc 62"/>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08" name="Arc 63"/>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104" name="Group 103"/>
            <xdr:cNvGrpSpPr>
              <a:grpSpLocks/>
            </xdr:cNvGrpSpPr>
          </xdr:nvGrpSpPr>
          <xdr:grpSpPr bwMode="auto">
            <a:xfrm>
              <a:off x="2925" y="1752"/>
              <a:ext cx="136" cy="272"/>
              <a:chOff x="2925" y="1130"/>
              <a:chExt cx="576" cy="1152"/>
            </a:xfrm>
          </xdr:grpSpPr>
          <xdr:sp macro="" textlink="">
            <xdr:nvSpPr>
              <xdr:cNvPr id="105" name="Arc 65"/>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06" name="Arc 66"/>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grpSp>
        <xdr:nvGrpSpPr>
          <xdr:cNvPr id="15" name="Group 14"/>
          <xdr:cNvGrpSpPr>
            <a:grpSpLocks/>
          </xdr:cNvGrpSpPr>
        </xdr:nvGrpSpPr>
        <xdr:grpSpPr bwMode="auto">
          <a:xfrm>
            <a:off x="3781400" y="3038305"/>
            <a:ext cx="69850" cy="360365"/>
            <a:chOff x="2925" y="1480"/>
            <a:chExt cx="136" cy="1088"/>
          </a:xfrm>
        </xdr:grpSpPr>
        <xdr:grpSp>
          <xdr:nvGrpSpPr>
            <xdr:cNvPr id="89" name="Group 88"/>
            <xdr:cNvGrpSpPr>
              <a:grpSpLocks/>
            </xdr:cNvGrpSpPr>
          </xdr:nvGrpSpPr>
          <xdr:grpSpPr bwMode="auto">
            <a:xfrm>
              <a:off x="2925" y="2024"/>
              <a:ext cx="136" cy="272"/>
              <a:chOff x="2925" y="1130"/>
              <a:chExt cx="576" cy="1152"/>
            </a:xfrm>
          </xdr:grpSpPr>
          <xdr:sp macro="" textlink="">
            <xdr:nvSpPr>
              <xdr:cNvPr id="99" name="Arc 69"/>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00" name="Arc 70"/>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90" name="Group 89"/>
            <xdr:cNvGrpSpPr>
              <a:grpSpLocks/>
            </xdr:cNvGrpSpPr>
          </xdr:nvGrpSpPr>
          <xdr:grpSpPr bwMode="auto">
            <a:xfrm>
              <a:off x="2925" y="2296"/>
              <a:ext cx="136" cy="272"/>
              <a:chOff x="2925" y="1130"/>
              <a:chExt cx="576" cy="1152"/>
            </a:xfrm>
          </xdr:grpSpPr>
          <xdr:sp macro="" textlink="">
            <xdr:nvSpPr>
              <xdr:cNvPr id="97" name="Arc 72"/>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98" name="Arc 73"/>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91" name="Group 90"/>
            <xdr:cNvGrpSpPr>
              <a:grpSpLocks/>
            </xdr:cNvGrpSpPr>
          </xdr:nvGrpSpPr>
          <xdr:grpSpPr bwMode="auto">
            <a:xfrm>
              <a:off x="2925" y="1480"/>
              <a:ext cx="136" cy="272"/>
              <a:chOff x="2925" y="1130"/>
              <a:chExt cx="576" cy="1152"/>
            </a:xfrm>
          </xdr:grpSpPr>
          <xdr:sp macro="" textlink="">
            <xdr:nvSpPr>
              <xdr:cNvPr id="95" name="Arc 75"/>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96" name="Arc 76"/>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nvGrpSpPr>
            <xdr:cNvPr id="92" name="Group 91"/>
            <xdr:cNvGrpSpPr>
              <a:grpSpLocks/>
            </xdr:cNvGrpSpPr>
          </xdr:nvGrpSpPr>
          <xdr:grpSpPr bwMode="auto">
            <a:xfrm>
              <a:off x="2925" y="1752"/>
              <a:ext cx="136" cy="272"/>
              <a:chOff x="2925" y="1130"/>
              <a:chExt cx="576" cy="1152"/>
            </a:xfrm>
          </xdr:grpSpPr>
          <xdr:sp macro="" textlink="">
            <xdr:nvSpPr>
              <xdr:cNvPr id="93" name="Arc 78"/>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94" name="Arc 79"/>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grpSp>
      <xdr:sp macro="" textlink="">
        <xdr:nvSpPr>
          <xdr:cNvPr id="16" name="Line 80"/>
          <xdr:cNvSpPr>
            <a:spLocks noChangeShapeType="1"/>
          </xdr:cNvSpPr>
        </xdr:nvSpPr>
        <xdr:spPr bwMode="auto">
          <a:xfrm>
            <a:off x="4067150" y="2606502"/>
            <a:ext cx="0" cy="935038"/>
          </a:xfrm>
          <a:prstGeom prst="line">
            <a:avLst/>
          </a:prstGeom>
          <a:noFill/>
          <a:ln w="9525">
            <a:solidFill>
              <a:srgbClr val="99CC00"/>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nvGrpSpPr>
          <xdr:cNvPr id="17" name="Group 16"/>
          <xdr:cNvGrpSpPr>
            <a:grpSpLocks noChangeAspect="1"/>
          </xdr:cNvGrpSpPr>
        </xdr:nvGrpSpPr>
        <xdr:grpSpPr bwMode="auto">
          <a:xfrm rot="8105323">
            <a:off x="5060320" y="2803963"/>
            <a:ext cx="468312" cy="468312"/>
            <a:chOff x="3017" y="2387"/>
            <a:chExt cx="544" cy="544"/>
          </a:xfrm>
        </xdr:grpSpPr>
        <xdr:grpSp>
          <xdr:nvGrpSpPr>
            <xdr:cNvPr id="69" name="Group 68"/>
            <xdr:cNvGrpSpPr>
              <a:grpSpLocks noChangeAspect="1"/>
            </xdr:cNvGrpSpPr>
          </xdr:nvGrpSpPr>
          <xdr:grpSpPr bwMode="auto">
            <a:xfrm rot="10800000">
              <a:off x="3061" y="2387"/>
              <a:ext cx="453" cy="91"/>
              <a:chOff x="2155" y="2750"/>
              <a:chExt cx="453" cy="91"/>
            </a:xfrm>
          </xdr:grpSpPr>
          <xdr:sp macro="" textlink="">
            <xdr:nvSpPr>
              <xdr:cNvPr id="85" name="Line 88"/>
              <xdr:cNvSpPr>
                <a:spLocks noChangeAspect="1" noChangeShapeType="1"/>
              </xdr:cNvSpPr>
            </xdr:nvSpPr>
            <xdr:spPr bwMode="auto">
              <a:xfrm>
                <a:off x="2155"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6" name="Line 89"/>
              <xdr:cNvSpPr>
                <a:spLocks noChangeAspect="1" noChangeShapeType="1"/>
              </xdr:cNvSpPr>
            </xdr:nvSpPr>
            <xdr:spPr bwMode="auto">
              <a:xfrm>
                <a:off x="2427"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7" name="Line 90"/>
              <xdr:cNvSpPr>
                <a:spLocks noChangeAspect="1" noChangeShapeType="1"/>
              </xdr:cNvSpPr>
            </xdr:nvSpPr>
            <xdr:spPr bwMode="auto">
              <a:xfrm flipV="1">
                <a:off x="2426" y="2750"/>
                <a:ext cx="0" cy="91"/>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8" name="AutoShape 91"/>
              <xdr:cNvSpPr>
                <a:spLocks noChangeAspect="1" noChangeArrowheads="1"/>
              </xdr:cNvSpPr>
            </xdr:nvSpPr>
            <xdr:spPr bwMode="auto">
              <a:xfrm rot="5400000">
                <a:off x="2335" y="2751"/>
                <a:ext cx="91" cy="90"/>
              </a:xfrm>
              <a:prstGeom prst="triangle">
                <a:avLst>
                  <a:gd name="adj" fmla="val 50000"/>
                </a:avLst>
              </a:prstGeom>
              <a:noFill/>
              <a:ln w="9525">
                <a:solidFill>
                  <a:schemeClr val="tx1"/>
                </a:solidFill>
                <a:miter lim="800000"/>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grpSp>
        <xdr:grpSp>
          <xdr:nvGrpSpPr>
            <xdr:cNvPr id="70" name="Group 69"/>
            <xdr:cNvGrpSpPr>
              <a:grpSpLocks noChangeAspect="1"/>
            </xdr:cNvGrpSpPr>
          </xdr:nvGrpSpPr>
          <xdr:grpSpPr bwMode="auto">
            <a:xfrm rot="-5400000">
              <a:off x="2836" y="2614"/>
              <a:ext cx="453" cy="91"/>
              <a:chOff x="2155" y="2750"/>
              <a:chExt cx="453" cy="91"/>
            </a:xfrm>
          </xdr:grpSpPr>
          <xdr:sp macro="" textlink="">
            <xdr:nvSpPr>
              <xdr:cNvPr id="81" name="Line 93"/>
              <xdr:cNvSpPr>
                <a:spLocks noChangeAspect="1" noChangeShapeType="1"/>
              </xdr:cNvSpPr>
            </xdr:nvSpPr>
            <xdr:spPr bwMode="auto">
              <a:xfrm>
                <a:off x="2155"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2" name="Line 94"/>
              <xdr:cNvSpPr>
                <a:spLocks noChangeAspect="1" noChangeShapeType="1"/>
              </xdr:cNvSpPr>
            </xdr:nvSpPr>
            <xdr:spPr bwMode="auto">
              <a:xfrm>
                <a:off x="2427"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3" name="Line 95"/>
              <xdr:cNvSpPr>
                <a:spLocks noChangeAspect="1" noChangeShapeType="1"/>
              </xdr:cNvSpPr>
            </xdr:nvSpPr>
            <xdr:spPr bwMode="auto">
              <a:xfrm flipV="1">
                <a:off x="2426" y="2750"/>
                <a:ext cx="0" cy="91"/>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4" name="AutoShape 96"/>
              <xdr:cNvSpPr>
                <a:spLocks noChangeAspect="1" noChangeArrowheads="1"/>
              </xdr:cNvSpPr>
            </xdr:nvSpPr>
            <xdr:spPr bwMode="auto">
              <a:xfrm rot="5400000">
                <a:off x="2335" y="2751"/>
                <a:ext cx="91" cy="90"/>
              </a:xfrm>
              <a:prstGeom prst="triangle">
                <a:avLst>
                  <a:gd name="adj" fmla="val 50000"/>
                </a:avLst>
              </a:prstGeom>
              <a:noFill/>
              <a:ln w="9525">
                <a:solidFill>
                  <a:schemeClr val="tx1"/>
                </a:solidFill>
                <a:miter lim="800000"/>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grpSp>
        <xdr:grpSp>
          <xdr:nvGrpSpPr>
            <xdr:cNvPr id="71" name="Group 70"/>
            <xdr:cNvGrpSpPr>
              <a:grpSpLocks noChangeAspect="1"/>
            </xdr:cNvGrpSpPr>
          </xdr:nvGrpSpPr>
          <xdr:grpSpPr bwMode="auto">
            <a:xfrm rot="-5400000">
              <a:off x="3289" y="2615"/>
              <a:ext cx="453" cy="91"/>
              <a:chOff x="2155" y="2750"/>
              <a:chExt cx="453" cy="91"/>
            </a:xfrm>
          </xdr:grpSpPr>
          <xdr:sp macro="" textlink="">
            <xdr:nvSpPr>
              <xdr:cNvPr id="77" name="Line 98"/>
              <xdr:cNvSpPr>
                <a:spLocks noChangeAspect="1" noChangeShapeType="1"/>
              </xdr:cNvSpPr>
            </xdr:nvSpPr>
            <xdr:spPr bwMode="auto">
              <a:xfrm>
                <a:off x="2155"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78" name="Line 99"/>
              <xdr:cNvSpPr>
                <a:spLocks noChangeAspect="1" noChangeShapeType="1"/>
              </xdr:cNvSpPr>
            </xdr:nvSpPr>
            <xdr:spPr bwMode="auto">
              <a:xfrm>
                <a:off x="2427"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79" name="Line 100"/>
              <xdr:cNvSpPr>
                <a:spLocks noChangeAspect="1" noChangeShapeType="1"/>
              </xdr:cNvSpPr>
            </xdr:nvSpPr>
            <xdr:spPr bwMode="auto">
              <a:xfrm flipV="1">
                <a:off x="2426" y="2750"/>
                <a:ext cx="0" cy="91"/>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80" name="AutoShape 101"/>
              <xdr:cNvSpPr>
                <a:spLocks noChangeAspect="1" noChangeArrowheads="1"/>
              </xdr:cNvSpPr>
            </xdr:nvSpPr>
            <xdr:spPr bwMode="auto">
              <a:xfrm rot="5400000">
                <a:off x="2335" y="2751"/>
                <a:ext cx="91" cy="90"/>
              </a:xfrm>
              <a:prstGeom prst="triangle">
                <a:avLst>
                  <a:gd name="adj" fmla="val 50000"/>
                </a:avLst>
              </a:prstGeom>
              <a:noFill/>
              <a:ln w="9525">
                <a:solidFill>
                  <a:schemeClr val="tx1"/>
                </a:solidFill>
                <a:miter lim="800000"/>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grpSp>
        <xdr:grpSp>
          <xdr:nvGrpSpPr>
            <xdr:cNvPr id="72" name="Group 71"/>
            <xdr:cNvGrpSpPr>
              <a:grpSpLocks noChangeAspect="1"/>
            </xdr:cNvGrpSpPr>
          </xdr:nvGrpSpPr>
          <xdr:grpSpPr bwMode="auto">
            <a:xfrm rot="10800000">
              <a:off x="3061" y="2840"/>
              <a:ext cx="453" cy="91"/>
              <a:chOff x="2155" y="2750"/>
              <a:chExt cx="453" cy="91"/>
            </a:xfrm>
          </xdr:grpSpPr>
          <xdr:sp macro="" textlink="">
            <xdr:nvSpPr>
              <xdr:cNvPr id="73" name="Line 103"/>
              <xdr:cNvSpPr>
                <a:spLocks noChangeAspect="1" noChangeShapeType="1"/>
              </xdr:cNvSpPr>
            </xdr:nvSpPr>
            <xdr:spPr bwMode="auto">
              <a:xfrm>
                <a:off x="2155"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74" name="Line 104"/>
              <xdr:cNvSpPr>
                <a:spLocks noChangeAspect="1" noChangeShapeType="1"/>
              </xdr:cNvSpPr>
            </xdr:nvSpPr>
            <xdr:spPr bwMode="auto">
              <a:xfrm>
                <a:off x="2427" y="2795"/>
                <a:ext cx="181"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75" name="Line 105"/>
              <xdr:cNvSpPr>
                <a:spLocks noChangeAspect="1" noChangeShapeType="1"/>
              </xdr:cNvSpPr>
            </xdr:nvSpPr>
            <xdr:spPr bwMode="auto">
              <a:xfrm flipV="1">
                <a:off x="2426" y="2750"/>
                <a:ext cx="0" cy="91"/>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76" name="AutoShape 106"/>
              <xdr:cNvSpPr>
                <a:spLocks noChangeAspect="1" noChangeArrowheads="1"/>
              </xdr:cNvSpPr>
            </xdr:nvSpPr>
            <xdr:spPr bwMode="auto">
              <a:xfrm rot="5400000">
                <a:off x="2335" y="2751"/>
                <a:ext cx="91" cy="90"/>
              </a:xfrm>
              <a:prstGeom prst="triangle">
                <a:avLst>
                  <a:gd name="adj" fmla="val 50000"/>
                </a:avLst>
              </a:prstGeom>
              <a:noFill/>
              <a:ln w="9525">
                <a:solidFill>
                  <a:schemeClr val="tx1"/>
                </a:solidFill>
                <a:miter lim="800000"/>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grpSp>
      </xdr:grpSp>
      <xdr:sp macro="" textlink="">
        <xdr:nvSpPr>
          <xdr:cNvPr id="18" name="Line 108"/>
          <xdr:cNvSpPr>
            <a:spLocks noChangeShapeType="1"/>
          </xdr:cNvSpPr>
        </xdr:nvSpPr>
        <xdr:spPr bwMode="auto">
          <a:xfrm>
            <a:off x="4571975" y="3470101"/>
            <a:ext cx="719137"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19" name="Line 110"/>
          <xdr:cNvSpPr>
            <a:spLocks noChangeShapeType="1"/>
          </xdr:cNvSpPr>
        </xdr:nvSpPr>
        <xdr:spPr bwMode="auto">
          <a:xfrm>
            <a:off x="4571975" y="2965277"/>
            <a:ext cx="0" cy="144463"/>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0" name="Line 114"/>
          <xdr:cNvSpPr>
            <a:spLocks noChangeShapeType="1"/>
          </xdr:cNvSpPr>
        </xdr:nvSpPr>
        <xdr:spPr bwMode="auto">
          <a:xfrm>
            <a:off x="4571975" y="2606502"/>
            <a:ext cx="719137"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1" name="Line 116"/>
          <xdr:cNvSpPr>
            <a:spLocks noChangeShapeType="1"/>
          </xdr:cNvSpPr>
        </xdr:nvSpPr>
        <xdr:spPr bwMode="auto">
          <a:xfrm flipH="1">
            <a:off x="5570513" y="3038302"/>
            <a:ext cx="152400" cy="0"/>
          </a:xfrm>
          <a:prstGeom prst="line">
            <a:avLst/>
          </a:prstGeom>
          <a:noFill/>
          <a:ln w="9525">
            <a:solidFill>
              <a:schemeClr val="tx1"/>
            </a:solidFill>
            <a:round/>
            <a:headEnd type="oval" w="sm" len="sm"/>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2" name="Line 119"/>
          <xdr:cNvSpPr>
            <a:spLocks noChangeShapeType="1"/>
          </xdr:cNvSpPr>
        </xdr:nvSpPr>
        <xdr:spPr bwMode="auto">
          <a:xfrm>
            <a:off x="5291113" y="3308177"/>
            <a:ext cx="0" cy="161925"/>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3" name="Line 121"/>
          <xdr:cNvSpPr>
            <a:spLocks noChangeShapeType="1"/>
          </xdr:cNvSpPr>
        </xdr:nvSpPr>
        <xdr:spPr bwMode="auto">
          <a:xfrm>
            <a:off x="5291113" y="2606502"/>
            <a:ext cx="0" cy="161925"/>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4" name="Line 122"/>
          <xdr:cNvSpPr>
            <a:spLocks noChangeShapeType="1"/>
          </xdr:cNvSpPr>
        </xdr:nvSpPr>
        <xdr:spPr bwMode="auto">
          <a:xfrm>
            <a:off x="5291113" y="2606502"/>
            <a:ext cx="0"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5" name="Line 125"/>
          <xdr:cNvSpPr>
            <a:spLocks noChangeShapeType="1"/>
          </xdr:cNvSpPr>
        </xdr:nvSpPr>
        <xdr:spPr bwMode="auto">
          <a:xfrm flipH="1">
            <a:off x="4859313" y="3038302"/>
            <a:ext cx="160337"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6" name="Line 126"/>
          <xdr:cNvSpPr>
            <a:spLocks noChangeShapeType="1"/>
          </xdr:cNvSpPr>
        </xdr:nvSpPr>
        <xdr:spPr bwMode="auto">
          <a:xfrm flipV="1">
            <a:off x="4859313" y="3038302"/>
            <a:ext cx="0" cy="360363"/>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27" name="Line 127"/>
          <xdr:cNvSpPr>
            <a:spLocks noChangeShapeType="1"/>
          </xdr:cNvSpPr>
        </xdr:nvSpPr>
        <xdr:spPr bwMode="auto">
          <a:xfrm flipH="1">
            <a:off x="4859313" y="3614563"/>
            <a:ext cx="863600" cy="0"/>
          </a:xfrm>
          <a:prstGeom prst="line">
            <a:avLst/>
          </a:prstGeom>
          <a:noFill/>
          <a:ln w="9525">
            <a:solidFill>
              <a:schemeClr val="tx1"/>
            </a:solidFill>
            <a:round/>
            <a:headEnd type="oval" w="sm" len="sm"/>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nvGrpSpPr>
          <xdr:cNvPr id="28" name="Group 27"/>
          <xdr:cNvGrpSpPr>
            <a:grpSpLocks/>
          </xdr:cNvGrpSpPr>
        </xdr:nvGrpSpPr>
        <xdr:grpSpPr bwMode="auto">
          <a:xfrm>
            <a:off x="4859313" y="3398664"/>
            <a:ext cx="73025" cy="142876"/>
            <a:chOff x="2925" y="1130"/>
            <a:chExt cx="576" cy="1152"/>
          </a:xfrm>
        </xdr:grpSpPr>
        <xdr:sp macro="" textlink="">
          <xdr:nvSpPr>
            <xdr:cNvPr id="67" name="Arc 191"/>
            <xdr:cNvSpPr>
              <a:spLocks/>
            </xdr:cNvSpPr>
          </xdr:nvSpPr>
          <xdr:spPr bwMode="auto">
            <a:xfrm>
              <a:off x="2925" y="1130"/>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8" name="Arc 192"/>
            <xdr:cNvSpPr>
              <a:spLocks/>
            </xdr:cNvSpPr>
          </xdr:nvSpPr>
          <xdr:spPr bwMode="auto">
            <a:xfrm flipV="1">
              <a:off x="2925" y="1706"/>
              <a:ext cx="576" cy="576"/>
            </a:xfrm>
            <a:custGeom>
              <a:avLst/>
              <a:gdLst>
                <a:gd name="T0" fmla="*/ 0 w 21600"/>
                <a:gd name="T1" fmla="*/ 0 h 21600"/>
                <a:gd name="T2" fmla="*/ 576 w 21600"/>
                <a:gd name="T3" fmla="*/ 576 h 21600"/>
                <a:gd name="T4" fmla="*/ 0 w 21600"/>
                <a:gd name="T5" fmla="*/ 57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sp macro="" textlink="">
        <xdr:nvSpPr>
          <xdr:cNvPr id="29" name="Line 194"/>
          <xdr:cNvSpPr>
            <a:spLocks noChangeShapeType="1"/>
          </xdr:cNvSpPr>
        </xdr:nvSpPr>
        <xdr:spPr bwMode="auto">
          <a:xfrm>
            <a:off x="4859313" y="3541538"/>
            <a:ext cx="0" cy="73025"/>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0" name="Rectangle 29"/>
          <xdr:cNvSpPr>
            <a:spLocks noChangeArrowheads="1"/>
          </xdr:cNvSpPr>
        </xdr:nvSpPr>
        <xdr:spPr bwMode="auto">
          <a:xfrm>
            <a:off x="5722120" y="3498082"/>
            <a:ext cx="450764"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r>
              <a:rPr lang="en-US" altLang="ja-JP" sz="1000" b="1">
                <a:latin typeface="Calibri" panose="020F0502020204030204" pitchFamily="34" charset="0"/>
              </a:rPr>
              <a:t>COM</a:t>
            </a:r>
          </a:p>
        </xdr:txBody>
      </xdr:sp>
      <xdr:sp macro="" textlink="">
        <xdr:nvSpPr>
          <xdr:cNvPr id="31" name="Rectangle 30"/>
          <xdr:cNvSpPr>
            <a:spLocks noChangeArrowheads="1"/>
          </xdr:cNvSpPr>
        </xdr:nvSpPr>
        <xdr:spPr bwMode="auto">
          <a:xfrm>
            <a:off x="5722120" y="2921820"/>
            <a:ext cx="576262" cy="24447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r>
              <a:rPr lang="en-US" altLang="ja-JP" sz="1000" b="1">
                <a:latin typeface="Calibri" panose="020F0502020204030204" pitchFamily="34" charset="0"/>
              </a:rPr>
              <a:t>V++</a:t>
            </a:r>
          </a:p>
        </xdr:txBody>
      </xdr:sp>
      <xdr:grpSp>
        <xdr:nvGrpSpPr>
          <xdr:cNvPr id="32" name="Group 31"/>
          <xdr:cNvGrpSpPr>
            <a:grpSpLocks/>
          </xdr:cNvGrpSpPr>
        </xdr:nvGrpSpPr>
        <xdr:grpSpPr bwMode="auto">
          <a:xfrm rot="16200000">
            <a:off x="3308980" y="2277292"/>
            <a:ext cx="145258" cy="800095"/>
            <a:chOff x="2336" y="2255"/>
            <a:chExt cx="272" cy="1436"/>
          </a:xfrm>
        </xdr:grpSpPr>
        <xdr:sp macro="" textlink="">
          <xdr:nvSpPr>
            <xdr:cNvPr id="61" name="Arc 201"/>
            <xdr:cNvSpPr>
              <a:spLocks/>
            </xdr:cNvSpPr>
          </xdr:nvSpPr>
          <xdr:spPr bwMode="auto">
            <a:xfrm>
              <a:off x="2472" y="2704"/>
              <a:ext cx="136" cy="136"/>
            </a:xfrm>
            <a:custGeom>
              <a:avLst/>
              <a:gdLst>
                <a:gd name="T0" fmla="*/ 0 w 21600"/>
                <a:gd name="T1" fmla="*/ 0 h 21600"/>
                <a:gd name="T2" fmla="*/ 136 w 21600"/>
                <a:gd name="T3" fmla="*/ 136 h 21600"/>
                <a:gd name="T4" fmla="*/ 0 w 21600"/>
                <a:gd name="T5" fmla="*/ 13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2" name="Arc 202"/>
            <xdr:cNvSpPr>
              <a:spLocks/>
            </xdr:cNvSpPr>
          </xdr:nvSpPr>
          <xdr:spPr bwMode="auto">
            <a:xfrm flipV="1">
              <a:off x="2472" y="2840"/>
              <a:ext cx="136" cy="136"/>
            </a:xfrm>
            <a:custGeom>
              <a:avLst/>
              <a:gdLst>
                <a:gd name="T0" fmla="*/ 0 w 21600"/>
                <a:gd name="T1" fmla="*/ 0 h 21600"/>
                <a:gd name="T2" fmla="*/ 136 w 21600"/>
                <a:gd name="T3" fmla="*/ 136 h 21600"/>
                <a:gd name="T4" fmla="*/ 0 w 21600"/>
                <a:gd name="T5" fmla="*/ 13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3" name="Arc 203"/>
            <xdr:cNvSpPr>
              <a:spLocks/>
            </xdr:cNvSpPr>
          </xdr:nvSpPr>
          <xdr:spPr bwMode="auto">
            <a:xfrm flipH="1">
              <a:off x="2336" y="2977"/>
              <a:ext cx="136" cy="136"/>
            </a:xfrm>
            <a:custGeom>
              <a:avLst/>
              <a:gdLst>
                <a:gd name="T0" fmla="*/ 0 w 21600"/>
                <a:gd name="T1" fmla="*/ 0 h 21600"/>
                <a:gd name="T2" fmla="*/ 136 w 21600"/>
                <a:gd name="T3" fmla="*/ 136 h 21600"/>
                <a:gd name="T4" fmla="*/ 0 w 21600"/>
                <a:gd name="T5" fmla="*/ 13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4" name="Arc 204"/>
            <xdr:cNvSpPr>
              <a:spLocks/>
            </xdr:cNvSpPr>
          </xdr:nvSpPr>
          <xdr:spPr bwMode="auto">
            <a:xfrm flipH="1" flipV="1">
              <a:off x="2336" y="3113"/>
              <a:ext cx="136" cy="136"/>
            </a:xfrm>
            <a:custGeom>
              <a:avLst/>
              <a:gdLst>
                <a:gd name="T0" fmla="*/ 0 w 21600"/>
                <a:gd name="T1" fmla="*/ 0 h 21600"/>
                <a:gd name="T2" fmla="*/ 136 w 21600"/>
                <a:gd name="T3" fmla="*/ 136 h 21600"/>
                <a:gd name="T4" fmla="*/ 0 w 21600"/>
                <a:gd name="T5" fmla="*/ 136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5" name="Line 205"/>
            <xdr:cNvSpPr>
              <a:spLocks noChangeShapeType="1"/>
            </xdr:cNvSpPr>
          </xdr:nvSpPr>
          <xdr:spPr bwMode="auto">
            <a:xfrm flipV="1">
              <a:off x="2475" y="2255"/>
              <a:ext cx="0" cy="449"/>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6" name="Line 206"/>
            <xdr:cNvSpPr>
              <a:spLocks noChangeShapeType="1"/>
            </xdr:cNvSpPr>
          </xdr:nvSpPr>
          <xdr:spPr bwMode="auto">
            <a:xfrm flipV="1">
              <a:off x="2472" y="3249"/>
              <a:ext cx="0" cy="442"/>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sp macro="" textlink="">
        <xdr:nvSpPr>
          <xdr:cNvPr id="33" name="Line 208"/>
          <xdr:cNvSpPr>
            <a:spLocks noChangeShapeType="1"/>
          </xdr:cNvSpPr>
        </xdr:nvSpPr>
        <xdr:spPr bwMode="auto">
          <a:xfrm flipH="1">
            <a:off x="2988841" y="3398663"/>
            <a:ext cx="792162"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4" name="Line 209"/>
          <xdr:cNvSpPr>
            <a:spLocks noChangeShapeType="1"/>
          </xdr:cNvSpPr>
        </xdr:nvSpPr>
        <xdr:spPr bwMode="auto">
          <a:xfrm flipH="1">
            <a:off x="2843188" y="2677939"/>
            <a:ext cx="144462" cy="287338"/>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5" name="Line 210"/>
          <xdr:cNvSpPr>
            <a:spLocks noChangeShapeType="1"/>
          </xdr:cNvSpPr>
        </xdr:nvSpPr>
        <xdr:spPr bwMode="auto">
          <a:xfrm>
            <a:off x="2843188" y="3109739"/>
            <a:ext cx="144462" cy="288925"/>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6" name="Line 211"/>
          <xdr:cNvSpPr>
            <a:spLocks noChangeShapeType="1"/>
          </xdr:cNvSpPr>
        </xdr:nvSpPr>
        <xdr:spPr bwMode="auto">
          <a:xfrm flipH="1">
            <a:off x="2627288" y="2965277"/>
            <a:ext cx="215900"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7" name="Line 212"/>
          <xdr:cNvSpPr>
            <a:spLocks noChangeShapeType="1"/>
          </xdr:cNvSpPr>
        </xdr:nvSpPr>
        <xdr:spPr bwMode="auto">
          <a:xfrm flipH="1">
            <a:off x="2627288" y="3109739"/>
            <a:ext cx="215900"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8" name="Line 213"/>
          <xdr:cNvSpPr>
            <a:spLocks noChangeShapeType="1"/>
          </xdr:cNvSpPr>
        </xdr:nvSpPr>
        <xdr:spPr bwMode="auto">
          <a:xfrm>
            <a:off x="2627288" y="3254202"/>
            <a:ext cx="71437" cy="0"/>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39" name="Line 214"/>
          <xdr:cNvSpPr>
            <a:spLocks noChangeShapeType="1"/>
          </xdr:cNvSpPr>
        </xdr:nvSpPr>
        <xdr:spPr bwMode="auto">
          <a:xfrm>
            <a:off x="2698725" y="3254202"/>
            <a:ext cx="288925" cy="576263"/>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40" name="Oval 39"/>
          <xdr:cNvSpPr>
            <a:spLocks noChangeArrowheads="1"/>
          </xdr:cNvSpPr>
        </xdr:nvSpPr>
        <xdr:spPr bwMode="auto">
          <a:xfrm>
            <a:off x="2555850" y="2822402"/>
            <a:ext cx="142875" cy="576263"/>
          </a:xfrm>
          <a:prstGeom prst="ellipse">
            <a:avLst/>
          </a:prstGeom>
          <a:noFill/>
          <a:ln w="9525">
            <a:solidFill>
              <a:schemeClr val="tx1"/>
            </a:solidFill>
            <a:round/>
            <a:headEnd/>
            <a:tailEn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sp macro="" textlink="">
        <xdr:nvSpPr>
          <xdr:cNvPr id="41" name="Rectangle 40"/>
          <xdr:cNvSpPr>
            <a:spLocks noChangeArrowheads="1"/>
          </xdr:cNvSpPr>
        </xdr:nvSpPr>
        <xdr:spPr bwMode="auto">
          <a:xfrm>
            <a:off x="1984860" y="2822402"/>
            <a:ext cx="570990" cy="55399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eaLnBrk="1" hangingPunct="1"/>
            <a:r>
              <a:rPr lang="en-US" altLang="ja-JP" sz="1000" b="1">
                <a:latin typeface="Calibri" panose="020F0502020204030204" pitchFamily="34" charset="0"/>
              </a:rPr>
              <a:t>live</a:t>
            </a:r>
          </a:p>
          <a:p>
            <a:pPr algn="r" eaLnBrk="1" hangingPunct="1"/>
            <a:r>
              <a:rPr lang="en-US" altLang="ja-JP" sz="1000" b="1">
                <a:latin typeface="Calibri" panose="020F0502020204030204" pitchFamily="34" charset="0"/>
              </a:rPr>
              <a:t>neutral</a:t>
            </a:r>
          </a:p>
          <a:p>
            <a:pPr algn="r" eaLnBrk="1" hangingPunct="1"/>
            <a:r>
              <a:rPr lang="en-US" altLang="ja-JP" sz="1000" b="1">
                <a:solidFill>
                  <a:schemeClr val="folHlink"/>
                </a:solidFill>
                <a:latin typeface="Calibri" panose="020F0502020204030204" pitchFamily="34" charset="0"/>
              </a:rPr>
              <a:t>earth</a:t>
            </a:r>
          </a:p>
        </xdr:txBody>
      </xdr:sp>
      <xdr:sp macro="" textlink="">
        <xdr:nvSpPr>
          <xdr:cNvPr id="42" name="Line 219"/>
          <xdr:cNvSpPr>
            <a:spLocks noChangeShapeType="1"/>
          </xdr:cNvSpPr>
        </xdr:nvSpPr>
        <xdr:spPr bwMode="auto">
          <a:xfrm flipH="1">
            <a:off x="4067150" y="3541538"/>
            <a:ext cx="0" cy="288925"/>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43" name="Line 220"/>
          <xdr:cNvSpPr>
            <a:spLocks noChangeShapeType="1"/>
          </xdr:cNvSpPr>
        </xdr:nvSpPr>
        <xdr:spPr bwMode="auto">
          <a:xfrm>
            <a:off x="2987650" y="3830463"/>
            <a:ext cx="1079500" cy="0"/>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44" name="Line 221"/>
          <xdr:cNvSpPr>
            <a:spLocks noChangeShapeType="1"/>
          </xdr:cNvSpPr>
        </xdr:nvSpPr>
        <xdr:spPr bwMode="auto">
          <a:xfrm flipH="1">
            <a:off x="3059088" y="3830463"/>
            <a:ext cx="0" cy="288925"/>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nvGrpSpPr>
          <xdr:cNvPr id="45" name="Group 44"/>
          <xdr:cNvGrpSpPr>
            <a:grpSpLocks/>
          </xdr:cNvGrpSpPr>
        </xdr:nvGrpSpPr>
        <xdr:grpSpPr bwMode="auto">
          <a:xfrm>
            <a:off x="2914625" y="4118470"/>
            <a:ext cx="288925" cy="144508"/>
            <a:chOff x="2063" y="2704"/>
            <a:chExt cx="227" cy="182"/>
          </a:xfrm>
        </xdr:grpSpPr>
        <xdr:sp macro="" textlink="">
          <xdr:nvSpPr>
            <xdr:cNvPr id="56" name="Line 223"/>
            <xdr:cNvSpPr>
              <a:spLocks noChangeShapeType="1"/>
            </xdr:cNvSpPr>
          </xdr:nvSpPr>
          <xdr:spPr bwMode="auto">
            <a:xfrm flipH="1">
              <a:off x="2063" y="2704"/>
              <a:ext cx="227" cy="1"/>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57" name="Line 224"/>
            <xdr:cNvSpPr>
              <a:spLocks noChangeShapeType="1"/>
            </xdr:cNvSpPr>
          </xdr:nvSpPr>
          <xdr:spPr bwMode="auto">
            <a:xfrm flipH="1">
              <a:off x="2064" y="2704"/>
              <a:ext cx="45" cy="182"/>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58" name="Line 225"/>
            <xdr:cNvSpPr>
              <a:spLocks noChangeShapeType="1"/>
            </xdr:cNvSpPr>
          </xdr:nvSpPr>
          <xdr:spPr bwMode="auto">
            <a:xfrm flipH="1">
              <a:off x="2109" y="2704"/>
              <a:ext cx="45" cy="182"/>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59" name="Line 226"/>
            <xdr:cNvSpPr>
              <a:spLocks noChangeShapeType="1"/>
            </xdr:cNvSpPr>
          </xdr:nvSpPr>
          <xdr:spPr bwMode="auto">
            <a:xfrm flipH="1">
              <a:off x="2154" y="2704"/>
              <a:ext cx="45" cy="182"/>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sp macro="" textlink="">
          <xdr:nvSpPr>
            <xdr:cNvPr id="60" name="Line 227"/>
            <xdr:cNvSpPr>
              <a:spLocks noChangeShapeType="1"/>
            </xdr:cNvSpPr>
          </xdr:nvSpPr>
          <xdr:spPr bwMode="auto">
            <a:xfrm flipH="1">
              <a:off x="2200" y="2704"/>
              <a:ext cx="45" cy="182"/>
            </a:xfrm>
            <a:prstGeom prst="line">
              <a:avLst/>
            </a:prstGeom>
            <a:noFill/>
            <a:ln w="9525">
              <a:solidFill>
                <a:srgbClr val="99CC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Calibri" panose="020F0502020204030204" pitchFamily="34" charset="0"/>
              </a:endParaRPr>
            </a:p>
          </xdr:txBody>
        </xdr:sp>
      </xdr:grpSp>
      <xdr:sp macro="" textlink="">
        <xdr:nvSpPr>
          <xdr:cNvPr id="46" name="Rectangle 45"/>
          <xdr:cNvSpPr>
            <a:spLocks noChangeArrowheads="1"/>
          </xdr:cNvSpPr>
        </xdr:nvSpPr>
        <xdr:spPr bwMode="auto">
          <a:xfrm>
            <a:off x="2527767" y="4066921"/>
            <a:ext cx="415498"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r>
              <a:rPr lang="en-US" altLang="ja-JP" sz="1000" b="1">
                <a:solidFill>
                  <a:schemeClr val="folHlink"/>
                </a:solidFill>
                <a:latin typeface="Calibri" panose="020F0502020204030204" pitchFamily="34" charset="0"/>
              </a:rPr>
              <a:t>case</a:t>
            </a:r>
          </a:p>
        </xdr:txBody>
      </xdr:sp>
      <xdr:sp macro="" textlink="">
        <xdr:nvSpPr>
          <xdr:cNvPr id="47" name="Rectangle 46"/>
          <xdr:cNvSpPr>
            <a:spLocks noChangeArrowheads="1"/>
          </xdr:cNvSpPr>
        </xdr:nvSpPr>
        <xdr:spPr bwMode="auto">
          <a:xfrm>
            <a:off x="3761618" y="3829868"/>
            <a:ext cx="611065"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r>
              <a:rPr lang="en-US" altLang="ja-JP" sz="1000" b="1">
                <a:solidFill>
                  <a:schemeClr val="folHlink"/>
                </a:solidFill>
                <a:latin typeface="Calibri" panose="020F0502020204030204" pitchFamily="34" charset="0"/>
              </a:rPr>
              <a:t>(screen)</a:t>
            </a:r>
          </a:p>
        </xdr:txBody>
      </xdr:sp>
      <xdr:sp macro="" textlink="">
        <xdr:nvSpPr>
          <xdr:cNvPr id="48" name="Rectangle 47"/>
          <xdr:cNvSpPr>
            <a:spLocks noChangeArrowheads="1"/>
          </xdr:cNvSpPr>
        </xdr:nvSpPr>
        <xdr:spPr bwMode="auto">
          <a:xfrm>
            <a:off x="4839554" y="2362027"/>
            <a:ext cx="936625" cy="24447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eaLnBrk="1" hangingPunct="1"/>
            <a:r>
              <a:rPr lang="en-US" altLang="ja-JP" sz="1000" b="1">
                <a:latin typeface="Calibri" panose="020F0502020204030204" pitchFamily="34" charset="0"/>
              </a:rPr>
              <a:t>1 A / 200 V</a:t>
            </a:r>
          </a:p>
        </xdr:txBody>
      </xdr:sp>
      <xdr:sp macro="" textlink="">
        <xdr:nvSpPr>
          <xdr:cNvPr id="49" name="Rectangle 48"/>
          <xdr:cNvSpPr>
            <a:spLocks noChangeArrowheads="1"/>
          </xdr:cNvSpPr>
        </xdr:nvSpPr>
        <xdr:spPr bwMode="auto">
          <a:xfrm>
            <a:off x="3549662" y="2303648"/>
            <a:ext cx="912432" cy="24885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eaLnBrk="1" hangingPunct="1"/>
            <a:r>
              <a:rPr lang="en-US" altLang="ja-JP" sz="1000" b="1">
                <a:latin typeface="Calibri" panose="020F0502020204030204" pitchFamily="34" charset="0"/>
              </a:rPr>
              <a:t>25-50 VA</a:t>
            </a:r>
          </a:p>
        </xdr:txBody>
      </xdr:sp>
      <xdr:sp macro="" textlink="">
        <xdr:nvSpPr>
          <xdr:cNvPr id="50" name="Rectangle 49"/>
          <xdr:cNvSpPr>
            <a:spLocks noChangeArrowheads="1"/>
          </xdr:cNvSpPr>
        </xdr:nvSpPr>
        <xdr:spPr bwMode="auto">
          <a:xfrm>
            <a:off x="2987650" y="2749377"/>
            <a:ext cx="792162" cy="24447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eaLnBrk="1" hangingPunct="1"/>
            <a:r>
              <a:rPr lang="en-US" altLang="ja-JP" sz="1000" b="1">
                <a:latin typeface="Calibri" panose="020F0502020204030204" pitchFamily="34" charset="0"/>
              </a:rPr>
              <a:t>fuse</a:t>
            </a:r>
          </a:p>
        </xdr:txBody>
      </xdr:sp>
      <xdr:sp macro="" textlink="">
        <xdr:nvSpPr>
          <xdr:cNvPr id="51" name="Rectangle 50"/>
          <xdr:cNvSpPr>
            <a:spLocks noChangeArrowheads="1"/>
          </xdr:cNvSpPr>
        </xdr:nvSpPr>
        <xdr:spPr bwMode="auto">
          <a:xfrm>
            <a:off x="4140175" y="2677939"/>
            <a:ext cx="681200" cy="24447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r>
              <a:rPr lang="en-US" altLang="ja-JP" sz="1000" b="1">
                <a:latin typeface="Calibri" panose="020F0502020204030204" pitchFamily="34" charset="0"/>
              </a:rPr>
              <a:t>18 VAC</a:t>
            </a:r>
          </a:p>
        </xdr:txBody>
      </xdr:sp>
      <xdr:sp macro="" textlink="">
        <xdr:nvSpPr>
          <xdr:cNvPr id="52" name="Rectangle 51"/>
          <xdr:cNvSpPr>
            <a:spLocks noChangeArrowheads="1"/>
          </xdr:cNvSpPr>
        </xdr:nvSpPr>
        <xdr:spPr bwMode="auto">
          <a:xfrm>
            <a:off x="4140175" y="3154189"/>
            <a:ext cx="681200" cy="24447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r>
              <a:rPr lang="en-US" altLang="ja-JP" sz="1000" b="1">
                <a:latin typeface="Calibri" panose="020F0502020204030204" pitchFamily="34" charset="0"/>
              </a:rPr>
              <a:t>18 VAC</a:t>
            </a:r>
          </a:p>
        </xdr:txBody>
      </xdr:sp>
      <xdr:sp macro="" textlink="">
        <xdr:nvSpPr>
          <xdr:cNvPr id="53" name="Rectangle 52"/>
          <xdr:cNvSpPr>
            <a:spLocks noChangeArrowheads="1"/>
          </xdr:cNvSpPr>
        </xdr:nvSpPr>
        <xdr:spPr bwMode="auto">
          <a:xfrm>
            <a:off x="2275144" y="2502983"/>
            <a:ext cx="676788"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eaLnBrk="1" hangingPunct="1"/>
            <a:r>
              <a:rPr lang="en-US" altLang="ja-JP" sz="1000" b="1">
                <a:latin typeface="Calibri" panose="020F0502020204030204" pitchFamily="34" charset="0"/>
              </a:rPr>
              <a:t>AC mains</a:t>
            </a:r>
            <a:endParaRPr lang="en-US" altLang="ja-JP" sz="1000" b="1">
              <a:solidFill>
                <a:schemeClr val="folHlink"/>
              </a:solidFill>
              <a:latin typeface="Calibri" panose="020F0502020204030204" pitchFamily="34" charset="0"/>
            </a:endParaRPr>
          </a:p>
        </xdr:txBody>
      </xdr:sp>
      <xdr:sp macro="" textlink="">
        <xdr:nvSpPr>
          <xdr:cNvPr id="54" name="Oval 53"/>
          <xdr:cNvSpPr>
            <a:spLocks noChangeArrowheads="1"/>
          </xdr:cNvSpPr>
        </xdr:nvSpPr>
        <xdr:spPr bwMode="auto">
          <a:xfrm>
            <a:off x="4275269" y="2628589"/>
            <a:ext cx="45719" cy="45719"/>
          </a:xfrm>
          <a:prstGeom prst="ellipse">
            <a:avLst/>
          </a:prstGeom>
          <a:solidFill>
            <a:schemeClr val="tx1"/>
          </a:solidFill>
          <a:ln w="9525" algn="ctr">
            <a:no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sp macro="" textlink="">
        <xdr:nvSpPr>
          <xdr:cNvPr id="55" name="Oval 54"/>
          <xdr:cNvSpPr>
            <a:spLocks noChangeArrowheads="1"/>
          </xdr:cNvSpPr>
        </xdr:nvSpPr>
        <xdr:spPr bwMode="auto">
          <a:xfrm>
            <a:off x="4273359" y="3132026"/>
            <a:ext cx="45719" cy="45719"/>
          </a:xfrm>
          <a:prstGeom prst="ellipse">
            <a:avLst/>
          </a:prstGeom>
          <a:solidFill>
            <a:schemeClr val="tx1"/>
          </a:solidFill>
          <a:ln w="9525" algn="ctr">
            <a:no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1" hangingPunct="1"/>
            <a:endParaRPr lang="en-US" altLang="en-US">
              <a:latin typeface="Calibri" panose="020F050202020403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66675</xdr:colOff>
      <xdr:row>15</xdr:row>
      <xdr:rowOff>114301</xdr:rowOff>
    </xdr:from>
    <xdr:to>
      <xdr:col>4</xdr:col>
      <xdr:colOff>495300</xdr:colOff>
      <xdr:row>25</xdr:row>
      <xdr:rowOff>171450</xdr:rowOff>
    </xdr:to>
    <xdr:sp macro="" textlink="">
      <xdr:nvSpPr>
        <xdr:cNvPr id="3" name="TextBox 2"/>
        <xdr:cNvSpPr txBox="1"/>
      </xdr:nvSpPr>
      <xdr:spPr>
        <a:xfrm>
          <a:off x="714375" y="2828926"/>
          <a:ext cx="3386138" cy="1866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t>The CrystalFET amplifier stages (Q1,3) are optimized for V_gs0 1.3~1.7 V, while jfets with V_gs0 larger than 1.7 are best used for the follower stages (Q2,4).</a:t>
          </a:r>
        </a:p>
        <a:p>
          <a:endParaRPr lang="en-US" sz="1100" baseline="0"/>
        </a:p>
        <a:p>
          <a:r>
            <a:rPr lang="en-US" sz="1100" baseline="0"/>
            <a:t>If the JFET V_gs0 and I_dss are known, enter them in the grey section above. If using the two-measurement method, enter the measured voltages into the box above and </a:t>
          </a:r>
          <a:r>
            <a:rPr lang="en-US" sz="1100" baseline="0">
              <a:solidFill>
                <a:schemeClr val="dk1"/>
              </a:solidFill>
              <a:effectLst/>
              <a:latin typeface="+mn-lt"/>
              <a:ea typeface="+mn-ea"/>
              <a:cs typeface="+mn-cs"/>
            </a:rPr>
            <a:t>V_gs0 and I_dss will be calculated automatically.</a:t>
          </a:r>
          <a:endParaRPr lang="en-US" sz="1100" baseline="0"/>
        </a:p>
        <a:p>
          <a:endParaRPr lang="en-US" sz="1100" baseline="0"/>
        </a:p>
        <a:p>
          <a:endParaRPr lang="en-US" sz="1100" baseline="0"/>
        </a:p>
      </xdr:txBody>
    </xdr:sp>
    <xdr:clientData/>
  </xdr:twoCellAnchor>
  <xdr:twoCellAnchor editAs="oneCell">
    <xdr:from>
      <xdr:col>8</xdr:col>
      <xdr:colOff>0</xdr:colOff>
      <xdr:row>1</xdr:row>
      <xdr:rowOff>0</xdr:rowOff>
    </xdr:from>
    <xdr:to>
      <xdr:col>17</xdr:col>
      <xdr:colOff>265938</xdr:colOff>
      <xdr:row>19</xdr:row>
      <xdr:rowOff>171022</xdr:rowOff>
    </xdr:to>
    <xdr:pic>
      <xdr:nvPicPr>
        <xdr:cNvPr id="4" name="Picture 3"/>
        <xdr:cNvPicPr>
          <a:picLocks noChangeAspect="1"/>
        </xdr:cNvPicPr>
      </xdr:nvPicPr>
      <xdr:blipFill>
        <a:blip xmlns:r="http://schemas.openxmlformats.org/officeDocument/2006/relationships" r:embed="rId1"/>
        <a:stretch>
          <a:fillRect/>
        </a:stretch>
      </xdr:blipFill>
      <xdr:spPr>
        <a:xfrm>
          <a:off x="6834188" y="180975"/>
          <a:ext cx="6095238" cy="34285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231775</xdr:colOff>
      <xdr:row>15</xdr:row>
      <xdr:rowOff>57150</xdr:rowOff>
    </xdr:from>
    <xdr:to>
      <xdr:col>2</xdr:col>
      <xdr:colOff>457199</xdr:colOff>
      <xdr:row>22</xdr:row>
      <xdr:rowOff>157162</xdr:rowOff>
    </xdr:to>
    <xdr:sp macro="" textlink="">
      <xdr:nvSpPr>
        <xdr:cNvPr id="2" name="TextBox 1"/>
        <xdr:cNvSpPr txBox="1"/>
      </xdr:nvSpPr>
      <xdr:spPr>
        <a:xfrm>
          <a:off x="231775" y="2776538"/>
          <a:ext cx="2459037" cy="13668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t>The closest resistor value to the calculated value from worksheet 2 is chosen from the available choices in KOA Speer MF 1% values.</a:t>
          </a:r>
        </a:p>
        <a:p>
          <a:endParaRPr lang="en-US" sz="1100" baseline="0"/>
        </a:p>
        <a:p>
          <a:r>
            <a:rPr lang="en-US" sz="1100" baseline="0"/>
            <a:t>R_drain can also be estimated from the value of V_gs0 according to the table.</a:t>
          </a:r>
        </a:p>
        <a:p>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sz="1100" baseline="0"/>
        </a:p>
        <a:p>
          <a:endParaRPr lang="en-US" sz="1100"/>
        </a:p>
      </xdr:txBody>
    </xdr:sp>
    <xdr:clientData/>
  </xdr:twoCellAnchor>
  <xdr:twoCellAnchor>
    <xdr:from>
      <xdr:col>5</xdr:col>
      <xdr:colOff>571500</xdr:colOff>
      <xdr:row>6</xdr:row>
      <xdr:rowOff>85725</xdr:rowOff>
    </xdr:from>
    <xdr:to>
      <xdr:col>5</xdr:col>
      <xdr:colOff>571500</xdr:colOff>
      <xdr:row>10</xdr:row>
      <xdr:rowOff>80963</xdr:rowOff>
    </xdr:to>
    <xdr:cxnSp macro="">
      <xdr:nvCxnSpPr>
        <xdr:cNvPr id="4" name="Straight Arrow Connector 3"/>
        <xdr:cNvCxnSpPr/>
      </xdr:nvCxnSpPr>
      <xdr:spPr>
        <a:xfrm flipV="1">
          <a:off x="4862513" y="1171575"/>
          <a:ext cx="0" cy="71913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12</xdr:col>
      <xdr:colOff>475300</xdr:colOff>
      <xdr:row>34</xdr:row>
      <xdr:rowOff>46918</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542925"/>
          <a:ext cx="7600000" cy="565714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xdr:row>
      <xdr:rowOff>1</xdr:rowOff>
    </xdr:from>
    <xdr:to>
      <xdr:col>14</xdr:col>
      <xdr:colOff>552450</xdr:colOff>
      <xdr:row>54</xdr:row>
      <xdr:rowOff>42863</xdr:rowOff>
    </xdr:to>
    <xdr:sp macro="" textlink="">
      <xdr:nvSpPr>
        <xdr:cNvPr id="2" name="TextBox 1"/>
        <xdr:cNvSpPr txBox="1"/>
      </xdr:nvSpPr>
      <xdr:spPr>
        <a:xfrm>
          <a:off x="647700" y="361951"/>
          <a:ext cx="8972550" cy="94535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Production</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Revision 1.4e</a:t>
          </a:r>
        </a:p>
        <a:p>
          <a:endParaRPr lang="en-US" sz="1100" b="0"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Gain Selectrion and Input Load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gain can be selected between MC (around 55 dB) and MM (around 35 dB) by setting the two jumpers J1 and J2 on the board. The cartridge loading is by default R1 = 47.5 kohms, though additional options can be connected directly to the input RCA jack or a separate board with switchable loading options can be added to the input circuit if desired.</a:t>
          </a:r>
        </a:p>
        <a:p>
          <a:endParaRPr lang="en-US" sz="1100" b="0"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JFET Matching</a:t>
          </a:r>
        </a:p>
        <a:p>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"Matching" means finding two JFETS with similar pinch-off voltage (V_gs0). Although the saturation current can also be measured this parameter is usually closely linked to V_gs0 so knowing both is not strictly required.</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JFETs Q1 and Q3 must be matched between channels (within 3% for mc, 5% for mm) to insure accurate stereo channel balance. JFETs Q2 and Q4 do not need to be matched, though a rough binning doesn't hurt. I can supply sets of J113 for this project. If you are matching yourself, allow a sample size of 20 units to get 2 closely matched pairs of suitable V_gs0.</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The value of the drain resistor R2 and R8 depends on the parameters of Q1 and Q3 respectively. You can use the lookup table in worksheet 3 to find the resistances if V_gs0 is known. A more rigorous calculation is presented in worksheets 1 and 2 if the saturation currents are known, or you want to match your JFETs using the "two measurement method". This involves a power supply, two resistors, and a voltmeter.</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0" u="none" strike="noStrike" baseline="0">
              <a:solidFill>
                <a:schemeClr val="dk1"/>
              </a:solidFill>
              <a:effectLst/>
              <a:latin typeface="+mn-lt"/>
              <a:ea typeface="+mn-ea"/>
              <a:cs typeface="+mn-cs"/>
            </a:rPr>
            <a:t>V+ Voltage Adjustment</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R20 is a trim resistor to adjust the output voltage of the regulator. Make sure pin 1 of the trimmer is placed as indicated on the board (else clockwise rotation becomes CCW). Turn full CCW before powering up the first time, then turn CW while measuring the voltage between TP1 and COM. Stop at 33 V and readjust to 33 V after a few minutes once the boards have had a chance to equilibrate.</a:t>
          </a:r>
        </a:p>
        <a:p>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To confirm the JFET operating points, check the voltages between TP2, TP3 and COM. You should see about 8-12 V. R2,8 should be reduced if the voltage is lower than 7.5 V, and increased if it is over 12 V.</a:t>
          </a:r>
          <a:endParaRPr lang="en-US">
            <a:effectLst/>
          </a:endParaRPr>
        </a:p>
        <a:p>
          <a:endParaRPr lang="en-US" sz="1100" b="0"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Warnings and Hints</a:t>
          </a:r>
        </a:p>
        <a:p>
          <a:endParaRPr lang="en-US" sz="1100" b="0" i="0" u="none" strike="noStrike"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Don't change the jumper position without first turning off the power and waiting a couple of minutes.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Do not apply power with the COM and V++ connection reversed. There is no protection on the board for reverse voltage and you will cause the filter capacitors to overheat and explode.</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The orientation of the TO-92 packages is indicated by the flat of the silkscreen pattern. Pin 1 of the TO-126 and TO-220 packages is indicated with a white dot.</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Soldering tip for TO-92 transistors: straighten leads if kinked, bend center lead slightly backwards, push package leads through the pads until held in place by the spring force of the leads, solder one lead, adjust, solder remaining leads.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2016</a:t>
          </a: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tabSelected="1" workbookViewId="0"/>
  </sheetViews>
  <sheetFormatPr defaultRowHeight="14.2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RowHeight="14.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heetViews>
  <sheetFormatPr defaultRowHeight="14.25"/>
  <sheetData>
    <row r="2" spans="2:2">
      <c r="B2" t="s">
        <v>71</v>
      </c>
    </row>
    <row r="5" spans="2:2">
      <c r="B5" t="s">
        <v>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Y65"/>
  <sheetViews>
    <sheetView workbookViewId="0">
      <selection activeCell="G12" sqref="G12"/>
    </sheetView>
  </sheetViews>
  <sheetFormatPr defaultColWidth="10.1328125" defaultRowHeight="13.15"/>
  <cols>
    <col min="1" max="1" width="16.73046875" style="3" customWidth="1"/>
    <col min="2" max="2" width="26" style="4" customWidth="1"/>
    <col min="3" max="3" width="27.86328125" style="4" customWidth="1"/>
    <col min="4" max="4" width="23" style="4" customWidth="1"/>
    <col min="5" max="5" width="19.1328125" style="4" bestFit="1" customWidth="1"/>
    <col min="6" max="6" width="10.1328125" style="4"/>
    <col min="7" max="7" width="29.265625" style="4" customWidth="1"/>
    <col min="8" max="8" width="71.265625" style="6" customWidth="1"/>
    <col min="9" max="16384" width="10.1328125" style="3"/>
  </cols>
  <sheetData>
    <row r="2" spans="1:25">
      <c r="B2" s="1" t="s">
        <v>1</v>
      </c>
      <c r="C2" s="1" t="s">
        <v>2</v>
      </c>
      <c r="D2" s="1" t="s">
        <v>3</v>
      </c>
      <c r="E2" s="1" t="s">
        <v>4</v>
      </c>
      <c r="F2" s="1" t="s">
        <v>5</v>
      </c>
      <c r="G2" s="1" t="s">
        <v>6</v>
      </c>
      <c r="H2" s="2" t="s">
        <v>7</v>
      </c>
    </row>
    <row r="3" spans="1:25">
      <c r="B3" s="3"/>
      <c r="C3" s="3"/>
      <c r="D3" s="3"/>
      <c r="E3" s="3"/>
      <c r="F3" s="3" t="s">
        <v>8</v>
      </c>
      <c r="G3" s="4">
        <v>1</v>
      </c>
      <c r="H3" s="3"/>
    </row>
    <row r="4" spans="1:25">
      <c r="H4" s="5"/>
    </row>
    <row r="5" spans="1:25">
      <c r="A5" s="6" t="s">
        <v>82</v>
      </c>
      <c r="B5" s="87" t="s">
        <v>177</v>
      </c>
      <c r="C5" s="88" t="s">
        <v>12</v>
      </c>
      <c r="D5" s="88" t="s">
        <v>156</v>
      </c>
      <c r="E5" s="88" t="s">
        <v>10</v>
      </c>
      <c r="F5" s="88">
        <v>2</v>
      </c>
      <c r="G5" s="89" t="str">
        <f>IF(F5=0,"",CONCATENATE(D5,"|",F5*$G$3))</f>
        <v>660-MF1/4DC4752F|2</v>
      </c>
      <c r="H5" s="90" t="s">
        <v>11</v>
      </c>
      <c r="J5" s="16"/>
      <c r="K5" s="16"/>
      <c r="L5" s="16"/>
      <c r="M5" s="16"/>
      <c r="N5" s="9"/>
      <c r="O5" s="16"/>
      <c r="P5" s="16"/>
      <c r="Q5" s="16"/>
      <c r="R5" s="16"/>
      <c r="S5" s="16"/>
      <c r="T5" s="16"/>
      <c r="U5" s="16"/>
      <c r="V5" s="16"/>
      <c r="W5" s="16"/>
      <c r="X5" s="16"/>
      <c r="Y5" s="16"/>
    </row>
    <row r="6" spans="1:25">
      <c r="B6" s="91" t="s">
        <v>198</v>
      </c>
      <c r="C6" s="47" t="str">
        <f ca="1">CONCATENATE('3. choose R_drain'!C6,"k")</f>
        <v>20k</v>
      </c>
      <c r="D6" s="48" t="str">
        <f ca="1">'3. choose R_drain'!F6</f>
        <v>660-MF1/4DC2002F</v>
      </c>
      <c r="E6" s="47" t="s">
        <v>10</v>
      </c>
      <c r="F6" s="47">
        <v>4</v>
      </c>
      <c r="G6" s="10" t="str">
        <f ca="1">IF(F6=0,"",CONCATENATE(D6,"|",F6*$G$3))</f>
        <v>660-MF1/4DC2002F|4</v>
      </c>
      <c r="H6" s="92" t="s">
        <v>11</v>
      </c>
      <c r="I6" s="3" t="s">
        <v>178</v>
      </c>
      <c r="J6" s="16"/>
      <c r="K6" s="16"/>
      <c r="L6" s="16"/>
      <c r="M6" s="16"/>
      <c r="N6" s="9"/>
      <c r="O6" s="16"/>
      <c r="P6" s="16"/>
      <c r="Q6" s="16"/>
      <c r="R6" s="16"/>
      <c r="S6" s="16"/>
      <c r="T6" s="16"/>
      <c r="U6" s="16"/>
      <c r="V6" s="16"/>
      <c r="W6" s="16"/>
      <c r="X6" s="16"/>
      <c r="Y6" s="16"/>
    </row>
    <row r="7" spans="1:25">
      <c r="B7" s="93" t="s">
        <v>197</v>
      </c>
      <c r="C7" s="9">
        <v>475</v>
      </c>
      <c r="D7" s="9" t="s">
        <v>9</v>
      </c>
      <c r="E7" s="9" t="s">
        <v>10</v>
      </c>
      <c r="F7" s="9">
        <v>8</v>
      </c>
      <c r="G7" s="10" t="str">
        <f t="shared" ref="G7:G33" si="0">IF(F7=0,"",CONCATENATE(D7,"|",F7*$G$3))</f>
        <v>660-MF1/4DC4750F|8</v>
      </c>
      <c r="H7" s="94" t="s">
        <v>11</v>
      </c>
      <c r="N7" s="9"/>
    </row>
    <row r="8" spans="1:25">
      <c r="B8" s="93" t="s">
        <v>196</v>
      </c>
      <c r="C8" s="9" t="s">
        <v>42</v>
      </c>
      <c r="D8" s="50" t="s">
        <v>43</v>
      </c>
      <c r="E8" s="9" t="s">
        <v>10</v>
      </c>
      <c r="F8" s="9">
        <v>4</v>
      </c>
      <c r="G8" s="10" t="str">
        <f t="shared" si="0"/>
        <v>660-MF1/4DC3321F|4</v>
      </c>
      <c r="H8" s="94" t="s">
        <v>11</v>
      </c>
      <c r="N8" s="9"/>
    </row>
    <row r="9" spans="1:25">
      <c r="A9" s="32" t="s">
        <v>83</v>
      </c>
      <c r="B9" s="113" t="s">
        <v>26</v>
      </c>
      <c r="C9" s="114" t="s">
        <v>143</v>
      </c>
      <c r="D9" s="114" t="s">
        <v>144</v>
      </c>
      <c r="E9" s="9" t="s">
        <v>10</v>
      </c>
      <c r="F9" s="9">
        <v>2</v>
      </c>
      <c r="G9" s="10" t="str">
        <f t="shared" si="0"/>
        <v>660-MF1/4DC2872F|2</v>
      </c>
      <c r="H9" s="94" t="s">
        <v>11</v>
      </c>
      <c r="N9" s="9"/>
    </row>
    <row r="10" spans="1:25">
      <c r="A10" s="32" t="s">
        <v>83</v>
      </c>
      <c r="B10" s="113" t="s">
        <v>27</v>
      </c>
      <c r="C10" s="114" t="s">
        <v>42</v>
      </c>
      <c r="D10" s="114" t="s">
        <v>43</v>
      </c>
      <c r="E10" s="9" t="s">
        <v>10</v>
      </c>
      <c r="F10" s="9">
        <v>2</v>
      </c>
      <c r="G10" s="10" t="str">
        <f t="shared" si="0"/>
        <v>660-MF1/4DC3321F|2</v>
      </c>
      <c r="H10" s="94" t="s">
        <v>11</v>
      </c>
      <c r="N10" s="9"/>
    </row>
    <row r="11" spans="1:25">
      <c r="B11" s="93" t="s">
        <v>195</v>
      </c>
      <c r="C11" s="9" t="s">
        <v>152</v>
      </c>
      <c r="D11" s="13" t="s">
        <v>151</v>
      </c>
      <c r="E11" s="9" t="s">
        <v>10</v>
      </c>
      <c r="F11" s="9">
        <v>2</v>
      </c>
      <c r="G11" s="10" t="str">
        <f t="shared" si="0"/>
        <v>660-MF1/4DC2213F|2</v>
      </c>
      <c r="H11" s="94" t="s">
        <v>11</v>
      </c>
      <c r="N11" s="9"/>
    </row>
    <row r="12" spans="1:25">
      <c r="B12" s="93" t="s">
        <v>194</v>
      </c>
      <c r="C12" s="9" t="s">
        <v>12</v>
      </c>
      <c r="D12" s="9" t="s">
        <v>156</v>
      </c>
      <c r="E12" s="9" t="s">
        <v>10</v>
      </c>
      <c r="F12" s="9">
        <v>2</v>
      </c>
      <c r="G12" s="10" t="str">
        <f t="shared" si="0"/>
        <v>660-MF1/4DC4752F|2</v>
      </c>
      <c r="H12" s="94" t="s">
        <v>11</v>
      </c>
      <c r="N12" s="9"/>
    </row>
    <row r="13" spans="1:25">
      <c r="B13" s="93" t="s">
        <v>193</v>
      </c>
      <c r="C13" s="9">
        <v>47.5</v>
      </c>
      <c r="D13" s="13" t="s">
        <v>116</v>
      </c>
      <c r="E13" s="9" t="s">
        <v>10</v>
      </c>
      <c r="F13" s="9">
        <v>6</v>
      </c>
      <c r="G13" s="10" t="str">
        <f t="shared" si="0"/>
        <v>660-MF1/4DC47R5F|6</v>
      </c>
      <c r="H13" s="94" t="s">
        <v>11</v>
      </c>
      <c r="K13" s="17"/>
      <c r="N13" s="9"/>
    </row>
    <row r="14" spans="1:25">
      <c r="B14" s="93" t="s">
        <v>192</v>
      </c>
      <c r="C14" s="9" t="s">
        <v>13</v>
      </c>
      <c r="D14" s="13" t="s">
        <v>14</v>
      </c>
      <c r="E14" s="9" t="s">
        <v>10</v>
      </c>
      <c r="F14" s="9">
        <v>2</v>
      </c>
      <c r="G14" s="10" t="str">
        <f t="shared" si="0"/>
        <v>660-MF1/4DC2212F|2</v>
      </c>
      <c r="H14" s="94" t="s">
        <v>11</v>
      </c>
      <c r="K14" s="17"/>
      <c r="N14" s="9"/>
    </row>
    <row r="15" spans="1:25">
      <c r="B15" s="93" t="s">
        <v>191</v>
      </c>
      <c r="C15" s="9">
        <v>22.1</v>
      </c>
      <c r="D15" s="9" t="s">
        <v>186</v>
      </c>
      <c r="E15" s="9" t="s">
        <v>10</v>
      </c>
      <c r="F15" s="9">
        <v>2</v>
      </c>
      <c r="G15" s="10" t="str">
        <f t="shared" si="0"/>
        <v>660-MF1/4DC22R1F|2</v>
      </c>
      <c r="H15" s="94" t="s">
        <v>11</v>
      </c>
      <c r="K15" s="17"/>
      <c r="N15" s="9"/>
    </row>
    <row r="16" spans="1:25">
      <c r="B16" s="93" t="s">
        <v>190</v>
      </c>
      <c r="C16" s="9">
        <v>475</v>
      </c>
      <c r="D16" s="9" t="s">
        <v>9</v>
      </c>
      <c r="E16" s="9" t="s">
        <v>10</v>
      </c>
      <c r="F16" s="9">
        <v>4</v>
      </c>
      <c r="G16" s="10" t="str">
        <f t="shared" si="0"/>
        <v>660-MF1/4DC4750F|4</v>
      </c>
      <c r="H16" s="94" t="s">
        <v>11</v>
      </c>
      <c r="K16" s="17"/>
      <c r="N16" s="9"/>
    </row>
    <row r="17" spans="1:14">
      <c r="B17" s="93" t="s">
        <v>15</v>
      </c>
      <c r="C17" s="9">
        <v>22.1</v>
      </c>
      <c r="D17" s="9" t="s">
        <v>186</v>
      </c>
      <c r="E17" s="9" t="s">
        <v>10</v>
      </c>
      <c r="F17" s="9">
        <v>2</v>
      </c>
      <c r="G17" s="10" t="str">
        <f>IF(F17=0,"",CONCATENATE(D17,"|",F17*$G$3))</f>
        <v>660-MF1/4DC22R1F|2</v>
      </c>
      <c r="H17" s="94" t="s">
        <v>11</v>
      </c>
      <c r="K17" s="17"/>
      <c r="N17" s="9"/>
    </row>
    <row r="18" spans="1:14">
      <c r="B18" s="93" t="s">
        <v>16</v>
      </c>
      <c r="C18" s="9" t="s">
        <v>35</v>
      </c>
      <c r="D18" s="9" t="s">
        <v>40</v>
      </c>
      <c r="E18" s="9" t="s">
        <v>41</v>
      </c>
      <c r="F18" s="9">
        <v>2</v>
      </c>
      <c r="G18" s="10" t="str">
        <f t="shared" si="0"/>
        <v>72-T93YA-1K|2</v>
      </c>
      <c r="H18" s="94" t="s">
        <v>49</v>
      </c>
      <c r="K18" s="17"/>
      <c r="N18" s="9"/>
    </row>
    <row r="19" spans="1:14">
      <c r="B19" s="93" t="s">
        <v>189</v>
      </c>
      <c r="C19" s="9" t="s">
        <v>42</v>
      </c>
      <c r="D19" s="50" t="s">
        <v>43</v>
      </c>
      <c r="E19" s="9" t="s">
        <v>10</v>
      </c>
      <c r="F19" s="9">
        <v>2</v>
      </c>
      <c r="G19" s="10" t="str">
        <f t="shared" si="0"/>
        <v>660-MF1/4DC3321F|2</v>
      </c>
      <c r="H19" s="94" t="s">
        <v>11</v>
      </c>
      <c r="K19" s="17"/>
      <c r="N19" s="9"/>
    </row>
    <row r="20" spans="1:14">
      <c r="B20" s="93" t="s">
        <v>188</v>
      </c>
      <c r="C20" s="9" t="s">
        <v>13</v>
      </c>
      <c r="D20" s="13" t="s">
        <v>14</v>
      </c>
      <c r="E20" s="9" t="s">
        <v>10</v>
      </c>
      <c r="F20" s="9">
        <v>2</v>
      </c>
      <c r="G20" s="10" t="str">
        <f t="shared" si="0"/>
        <v>660-MF1/4DC2212F|2</v>
      </c>
      <c r="H20" s="94" t="s">
        <v>11</v>
      </c>
      <c r="K20" s="17"/>
      <c r="N20" s="9"/>
    </row>
    <row r="21" spans="1:14">
      <c r="B21" s="93" t="s">
        <v>64</v>
      </c>
      <c r="C21" s="9" t="s">
        <v>154</v>
      </c>
      <c r="D21" s="13" t="s">
        <v>155</v>
      </c>
      <c r="E21" s="9" t="s">
        <v>17</v>
      </c>
      <c r="F21" s="9">
        <v>4</v>
      </c>
      <c r="G21" s="10" t="str">
        <f t="shared" si="0"/>
        <v>647-UFW1A221MED|4</v>
      </c>
      <c r="H21" s="94" t="s">
        <v>87</v>
      </c>
      <c r="K21" s="17"/>
      <c r="N21" s="9"/>
    </row>
    <row r="22" spans="1:14">
      <c r="A22" s="32" t="s">
        <v>83</v>
      </c>
      <c r="B22" s="113" t="s">
        <v>28</v>
      </c>
      <c r="C22" s="114" t="s">
        <v>36</v>
      </c>
      <c r="D22" s="114" t="s">
        <v>44</v>
      </c>
      <c r="E22" s="9" t="s">
        <v>45</v>
      </c>
      <c r="F22" s="9">
        <v>8</v>
      </c>
      <c r="G22" s="10" t="str">
        <f t="shared" si="0"/>
        <v>505-FKP20.033/63/2.5|8</v>
      </c>
      <c r="H22" s="94" t="s">
        <v>50</v>
      </c>
      <c r="K22" s="17"/>
      <c r="N22" s="9"/>
    </row>
    <row r="23" spans="1:14">
      <c r="B23" s="93" t="s">
        <v>29</v>
      </c>
      <c r="C23" s="9" t="s">
        <v>119</v>
      </c>
      <c r="D23" s="9" t="s">
        <v>124</v>
      </c>
      <c r="E23" s="9" t="s">
        <v>125</v>
      </c>
      <c r="F23" s="9">
        <v>2</v>
      </c>
      <c r="G23" s="10" t="str">
        <f t="shared" si="0"/>
        <v>667-ECW-F2104JAQ|2</v>
      </c>
      <c r="H23" s="94" t="s">
        <v>126</v>
      </c>
      <c r="I23" s="3" t="s">
        <v>128</v>
      </c>
      <c r="J23" s="71"/>
      <c r="K23" s="17"/>
      <c r="N23" s="9"/>
    </row>
    <row r="24" spans="1:14">
      <c r="B24" s="93" t="s">
        <v>30</v>
      </c>
      <c r="C24" s="9" t="s">
        <v>37</v>
      </c>
      <c r="D24" s="9" t="s">
        <v>123</v>
      </c>
      <c r="E24" s="9" t="s">
        <v>125</v>
      </c>
      <c r="F24" s="9">
        <v>2</v>
      </c>
      <c r="G24" s="10" t="str">
        <f t="shared" si="0"/>
        <v>667-ECW-F2225JA|2</v>
      </c>
      <c r="H24" s="94" t="s">
        <v>127</v>
      </c>
      <c r="I24" s="3" t="s">
        <v>129</v>
      </c>
      <c r="N24" s="9"/>
    </row>
    <row r="25" spans="1:14">
      <c r="B25" s="93" t="s">
        <v>185</v>
      </c>
      <c r="C25" s="9" t="s">
        <v>85</v>
      </c>
      <c r="D25" s="9" t="s">
        <v>84</v>
      </c>
      <c r="E25" s="9" t="s">
        <v>17</v>
      </c>
      <c r="F25" s="9">
        <v>18</v>
      </c>
      <c r="G25" s="10" t="str">
        <f t="shared" si="0"/>
        <v>647-UFW1J221MPD|18</v>
      </c>
      <c r="H25" s="94" t="s">
        <v>86</v>
      </c>
    </row>
    <row r="26" spans="1:14">
      <c r="B26" s="93" t="s">
        <v>76</v>
      </c>
      <c r="C26" s="9" t="s">
        <v>77</v>
      </c>
      <c r="D26" s="9" t="s">
        <v>120</v>
      </c>
      <c r="E26" s="9" t="s">
        <v>78</v>
      </c>
      <c r="F26" s="9">
        <v>6</v>
      </c>
      <c r="G26" s="10" t="str">
        <f>IF(F26=0,"",CONCATENATE(D26,"|",F26*$G$3))</f>
        <v>810-FK26X7R2A104K|6</v>
      </c>
      <c r="H26" s="95" t="s">
        <v>153</v>
      </c>
    </row>
    <row r="27" spans="1:14">
      <c r="B27" s="93" t="s">
        <v>31</v>
      </c>
      <c r="C27" s="9" t="s">
        <v>79</v>
      </c>
      <c r="D27" s="9" t="s">
        <v>179</v>
      </c>
      <c r="E27" s="9" t="s">
        <v>19</v>
      </c>
      <c r="F27" s="9">
        <v>8</v>
      </c>
      <c r="G27" s="10" t="str">
        <f>IF(F27=0,"",CONCATENATE(D27,"|",F27*$G$3))</f>
        <v>512-J113|8</v>
      </c>
      <c r="H27" s="94" t="s">
        <v>180</v>
      </c>
    </row>
    <row r="28" spans="1:14">
      <c r="B28" s="93" t="s">
        <v>32</v>
      </c>
      <c r="C28" s="9" t="s">
        <v>121</v>
      </c>
      <c r="D28" s="9" t="s">
        <v>117</v>
      </c>
      <c r="E28" s="9" t="s">
        <v>18</v>
      </c>
      <c r="F28" s="9">
        <v>2</v>
      </c>
      <c r="G28" s="10" t="str">
        <f t="shared" si="0"/>
        <v>512-BD14016S|2</v>
      </c>
      <c r="H28" s="94" t="s">
        <v>204</v>
      </c>
    </row>
    <row r="29" spans="1:14">
      <c r="B29" s="93" t="s">
        <v>33</v>
      </c>
      <c r="C29" s="9" t="s">
        <v>122</v>
      </c>
      <c r="D29" s="9" t="s">
        <v>118</v>
      </c>
      <c r="E29" s="9" t="s">
        <v>18</v>
      </c>
      <c r="F29" s="9">
        <v>2</v>
      </c>
      <c r="G29" s="10" t="str">
        <f t="shared" si="0"/>
        <v>512-BD13916S|2</v>
      </c>
      <c r="H29" s="94" t="s">
        <v>205</v>
      </c>
    </row>
    <row r="30" spans="1:14">
      <c r="B30" s="93" t="s">
        <v>34</v>
      </c>
      <c r="C30" s="9" t="s">
        <v>47</v>
      </c>
      <c r="D30" s="9" t="s">
        <v>46</v>
      </c>
      <c r="E30" s="9" t="s">
        <v>48</v>
      </c>
      <c r="F30" s="9">
        <v>4</v>
      </c>
      <c r="G30" s="10" t="str">
        <f>IF(F30=0,"",CONCATENATE(D30,"|",F30*$G$3))</f>
        <v>844-IRF9520PBF|4</v>
      </c>
      <c r="H30" s="94" t="s">
        <v>39</v>
      </c>
    </row>
    <row r="31" spans="1:14">
      <c r="B31" s="93" t="s">
        <v>38</v>
      </c>
      <c r="C31" s="9" t="s">
        <v>114</v>
      </c>
      <c r="D31" s="9" t="s">
        <v>115</v>
      </c>
      <c r="E31" s="9" t="s">
        <v>19</v>
      </c>
      <c r="F31" s="9">
        <v>2</v>
      </c>
      <c r="G31" s="10" t="str">
        <f t="shared" si="0"/>
        <v>512-1N4004|2</v>
      </c>
      <c r="H31" s="94" t="s">
        <v>174</v>
      </c>
    </row>
    <row r="32" spans="1:14">
      <c r="B32" s="93" t="s">
        <v>187</v>
      </c>
      <c r="C32" s="9" t="s">
        <v>149</v>
      </c>
      <c r="D32" s="9" t="s">
        <v>148</v>
      </c>
      <c r="E32" s="9" t="s">
        <v>147</v>
      </c>
      <c r="F32" s="9">
        <v>4</v>
      </c>
      <c r="G32" s="10" t="str">
        <f t="shared" si="0"/>
        <v>517-929647-01-03-EU|4</v>
      </c>
      <c r="H32" s="94"/>
    </row>
    <row r="33" spans="1:8">
      <c r="B33" s="96" t="s">
        <v>145</v>
      </c>
      <c r="C33" s="97" t="s">
        <v>150</v>
      </c>
      <c r="D33" s="97" t="s">
        <v>146</v>
      </c>
      <c r="E33" s="97" t="s">
        <v>147</v>
      </c>
      <c r="F33" s="97">
        <v>4</v>
      </c>
      <c r="G33" s="98" t="str">
        <f t="shared" si="0"/>
        <v>517-952-10|4</v>
      </c>
      <c r="H33" s="99"/>
    </row>
    <row r="34" spans="1:8">
      <c r="B34" s="9"/>
      <c r="C34" s="9"/>
      <c r="D34" s="9"/>
      <c r="E34" s="9"/>
      <c r="F34" s="9"/>
      <c r="G34" s="10"/>
      <c r="H34" s="14"/>
    </row>
    <row r="35" spans="1:8">
      <c r="B35" s="15" t="s">
        <v>176</v>
      </c>
      <c r="C35" s="18"/>
      <c r="D35" s="9"/>
      <c r="E35" s="9"/>
      <c r="F35" s="9"/>
      <c r="G35" s="10"/>
      <c r="H35" s="14"/>
    </row>
    <row r="36" spans="1:8">
      <c r="B36" s="15"/>
      <c r="D36" s="9"/>
      <c r="E36" s="9"/>
      <c r="F36" s="9"/>
      <c r="G36" s="10"/>
      <c r="H36" s="14"/>
    </row>
    <row r="37" spans="1:8">
      <c r="C37" s="11"/>
      <c r="D37" s="13"/>
      <c r="E37" s="9"/>
      <c r="F37" s="9"/>
      <c r="G37" s="10"/>
      <c r="H37" s="14"/>
    </row>
    <row r="38" spans="1:8">
      <c r="B38" s="9"/>
      <c r="C38" s="11"/>
      <c r="D38" s="3"/>
      <c r="E38" s="9"/>
      <c r="F38" s="9"/>
      <c r="G38" s="10"/>
      <c r="H38" s="14"/>
    </row>
    <row r="39" spans="1:8">
      <c r="A39" s="3" t="s">
        <v>20</v>
      </c>
      <c r="B39" s="4" t="s">
        <v>21</v>
      </c>
      <c r="C39" s="4" t="s">
        <v>182</v>
      </c>
      <c r="D39" s="112" t="s">
        <v>181</v>
      </c>
      <c r="E39" s="4" t="s">
        <v>183</v>
      </c>
      <c r="F39" s="4">
        <v>1</v>
      </c>
      <c r="G39" s="10" t="str">
        <f>IF(F39=0,"",CONCATENATE(D39,"|",F39*$G$3))</f>
        <v>553-VPT36-1390|1</v>
      </c>
      <c r="H39" s="14" t="s">
        <v>184</v>
      </c>
    </row>
    <row r="40" spans="1:8">
      <c r="B40" s="4" t="s">
        <v>22</v>
      </c>
      <c r="C40" s="4" t="s">
        <v>23</v>
      </c>
      <c r="D40" s="4" t="s">
        <v>24</v>
      </c>
      <c r="E40" s="4" t="s">
        <v>25</v>
      </c>
      <c r="F40" s="4">
        <v>1</v>
      </c>
      <c r="G40" s="10" t="str">
        <f>IF(F40=0,"",CONCATENATE(D40,"|",F40*$G$3))</f>
        <v>625-GBPC102-E4|1</v>
      </c>
      <c r="H40" s="5" t="s">
        <v>105</v>
      </c>
    </row>
    <row r="41" spans="1:8">
      <c r="H41" s="14"/>
    </row>
    <row r="44" spans="1:8">
      <c r="C44" s="6"/>
    </row>
    <row r="45" spans="1:8">
      <c r="G45" s="13"/>
    </row>
    <row r="48" spans="1:8">
      <c r="B48" s="7"/>
      <c r="C48" s="8"/>
    </row>
    <row r="51" spans="4:8">
      <c r="G51" s="9"/>
      <c r="H51" s="9"/>
    </row>
    <row r="52" spans="4:8">
      <c r="G52" s="9"/>
      <c r="H52" s="13"/>
    </row>
    <row r="53" spans="4:8">
      <c r="G53" s="9"/>
      <c r="H53" s="9"/>
    </row>
    <row r="54" spans="4:8">
      <c r="G54" s="9"/>
      <c r="H54" s="13"/>
    </row>
    <row r="63" spans="4:8">
      <c r="D63" s="12"/>
    </row>
    <row r="65" spans="3:5">
      <c r="C65" s="9"/>
      <c r="D65" s="9"/>
      <c r="E65" s="9"/>
    </row>
  </sheetData>
  <sortState ref="K5:O20">
    <sortCondition ref="K5"/>
  </sortState>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B29" sqref="B29"/>
    </sheetView>
  </sheetViews>
  <sheetFormatPr defaultRowHeight="14.25"/>
  <cols>
    <col min="2" max="2" width="23.59765625" bestFit="1" customWidth="1"/>
    <col min="3" max="3" width="8.73046875" style="26"/>
    <col min="6" max="6" width="18" bestFit="1" customWidth="1"/>
  </cols>
  <sheetData>
    <row r="1" spans="1:6">
      <c r="B1" s="21"/>
      <c r="C1" s="28"/>
      <c r="D1" s="21"/>
      <c r="E1" s="21"/>
      <c r="F1" s="21"/>
    </row>
    <row r="2" spans="1:6">
      <c r="B2" s="25" t="s">
        <v>88</v>
      </c>
      <c r="C2" s="36">
        <v>475</v>
      </c>
      <c r="D2" s="25" t="s">
        <v>57</v>
      </c>
      <c r="E2" s="21" t="s">
        <v>80</v>
      </c>
      <c r="F2" s="21"/>
    </row>
    <row r="3" spans="1:6">
      <c r="B3" s="25" t="s">
        <v>89</v>
      </c>
      <c r="C3" s="36">
        <v>1200</v>
      </c>
      <c r="D3" s="25" t="s">
        <v>57</v>
      </c>
      <c r="E3" s="21" t="s">
        <v>80</v>
      </c>
      <c r="F3" s="21"/>
    </row>
    <row r="4" spans="1:6">
      <c r="B4" s="25" t="s">
        <v>90</v>
      </c>
      <c r="C4" s="62">
        <v>0.95</v>
      </c>
      <c r="D4" s="25" t="s">
        <v>51</v>
      </c>
      <c r="E4" s="21" t="s">
        <v>92</v>
      </c>
    </row>
    <row r="5" spans="1:6">
      <c r="B5" s="25" t="s">
        <v>91</v>
      </c>
      <c r="C5" s="63">
        <v>1.0940000000000001</v>
      </c>
      <c r="D5" s="25" t="s">
        <v>51</v>
      </c>
      <c r="E5" s="21" t="s">
        <v>93</v>
      </c>
    </row>
    <row r="6" spans="1:6">
      <c r="B6" s="22"/>
      <c r="C6" s="35"/>
      <c r="D6" s="22"/>
      <c r="E6" s="21"/>
      <c r="F6" s="21"/>
    </row>
    <row r="7" spans="1:6">
      <c r="B7" s="33" t="s">
        <v>53</v>
      </c>
      <c r="C7" s="37">
        <f>(C4-SQRT(C4*C3/C5/C2)*C5)/(1-SQRT(C4*C3/C5/C2))</f>
        <v>1.3932873868591849</v>
      </c>
      <c r="D7" s="33" t="s">
        <v>51</v>
      </c>
      <c r="E7" s="21" t="s">
        <v>157</v>
      </c>
      <c r="F7" s="21"/>
    </row>
    <row r="8" spans="1:6">
      <c r="B8" s="33" t="s">
        <v>54</v>
      </c>
      <c r="C8" s="37">
        <f>1000*C4/C2/(1-C4/C7)^2</f>
        <v>19.757894327547007</v>
      </c>
      <c r="D8" s="33" t="s">
        <v>52</v>
      </c>
      <c r="E8" t="s">
        <v>81</v>
      </c>
      <c r="F8" s="21"/>
    </row>
    <row r="9" spans="1:6">
      <c r="F9" s="21"/>
    </row>
    <row r="11" spans="1:6">
      <c r="B11" t="s">
        <v>134</v>
      </c>
    </row>
    <row r="12" spans="1:6">
      <c r="B12" s="74"/>
      <c r="C12" s="45"/>
      <c r="D12" s="74"/>
      <c r="F12" s="78" t="s">
        <v>131</v>
      </c>
    </row>
    <row r="13" spans="1:6">
      <c r="A13" s="19" t="s">
        <v>198</v>
      </c>
      <c r="B13" s="76" t="str">
        <f>'3. choose R_drain'!B6</f>
        <v>R_drain (closest practical)</v>
      </c>
      <c r="C13" s="77">
        <f ca="1">'3. choose R_drain'!C6</f>
        <v>20</v>
      </c>
      <c r="D13" s="76" t="str">
        <f>'3. choose R_drain'!D6</f>
        <v>kohms</v>
      </c>
      <c r="F13" t="str">
        <f ca="1">'3. choose R_drain'!F6</f>
        <v>660-MF1/4DC2002F</v>
      </c>
    </row>
    <row r="14" spans="1:6">
      <c r="B14" s="74"/>
      <c r="C14" s="75"/>
      <c r="D14" s="74"/>
    </row>
    <row r="16" spans="1:6">
      <c r="B16" s="22"/>
      <c r="C16" s="35"/>
      <c r="D16" s="22"/>
    </row>
    <row r="23" spans="3:3">
      <c r="C23" s="56"/>
    </row>
  </sheetData>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workbookViewId="0">
      <selection activeCell="C37" sqref="C37"/>
    </sheetView>
  </sheetViews>
  <sheetFormatPr defaultRowHeight="14.25"/>
  <cols>
    <col min="1" max="1" width="11.265625" bestFit="1" customWidth="1"/>
    <col min="2" max="2" width="32.73046875" customWidth="1"/>
    <col min="3" max="3" width="8.73046875" style="26"/>
  </cols>
  <sheetData>
    <row r="2" spans="1:14">
      <c r="B2" s="31" t="s">
        <v>72</v>
      </c>
      <c r="C2" s="64">
        <f>'1. measure your FET'!C7</f>
        <v>1.3932873868591849</v>
      </c>
      <c r="D2" s="24" t="s">
        <v>51</v>
      </c>
      <c r="E2" t="s">
        <v>159</v>
      </c>
    </row>
    <row r="3" spans="1:14">
      <c r="B3" s="24" t="s">
        <v>54</v>
      </c>
      <c r="C3" s="65">
        <f>'1. measure your FET'!C8</f>
        <v>19.757894327547007</v>
      </c>
      <c r="D3" s="24" t="s">
        <v>52</v>
      </c>
      <c r="E3" t="s">
        <v>175</v>
      </c>
    </row>
    <row r="4" spans="1:14">
      <c r="B4" s="24" t="s">
        <v>95</v>
      </c>
      <c r="C4" s="29">
        <v>35</v>
      </c>
      <c r="D4" s="24" t="s">
        <v>51</v>
      </c>
      <c r="E4" t="s">
        <v>108</v>
      </c>
    </row>
    <row r="5" spans="1:14">
      <c r="B5" s="24" t="s">
        <v>55</v>
      </c>
      <c r="C5" s="29">
        <v>10</v>
      </c>
      <c r="D5" s="24" t="s">
        <v>51</v>
      </c>
      <c r="E5" t="s">
        <v>107</v>
      </c>
    </row>
    <row r="6" spans="1:14">
      <c r="A6" t="s">
        <v>200</v>
      </c>
      <c r="B6" s="24" t="s">
        <v>160</v>
      </c>
      <c r="C6" s="36">
        <v>475</v>
      </c>
      <c r="D6" s="46" t="s">
        <v>57</v>
      </c>
    </row>
    <row r="7" spans="1:14">
      <c r="A7" t="s">
        <v>201</v>
      </c>
      <c r="B7" s="24" t="s">
        <v>161</v>
      </c>
      <c r="C7" s="36">
        <v>475</v>
      </c>
      <c r="D7" s="46" t="s">
        <v>57</v>
      </c>
    </row>
    <row r="8" spans="1:14">
      <c r="A8" t="s">
        <v>202</v>
      </c>
      <c r="B8" s="25" t="s">
        <v>58</v>
      </c>
      <c r="C8" s="36">
        <f>C6+C7</f>
        <v>950</v>
      </c>
      <c r="D8" s="46" t="s">
        <v>57</v>
      </c>
      <c r="E8" t="s">
        <v>100</v>
      </c>
    </row>
    <row r="10" spans="1:14">
      <c r="B10" t="s">
        <v>70</v>
      </c>
      <c r="C10" s="57">
        <f>C3/C2/C2</f>
        <v>10.17792502231806</v>
      </c>
      <c r="D10" t="s">
        <v>94</v>
      </c>
      <c r="N10" s="55"/>
    </row>
    <row r="11" spans="1:14">
      <c r="D11" s="34"/>
      <c r="N11" s="55"/>
    </row>
    <row r="12" spans="1:14">
      <c r="B12" s="101" t="s">
        <v>73</v>
      </c>
      <c r="C12" s="102">
        <f>C10/1000</f>
        <v>1.017792502231806E-2</v>
      </c>
      <c r="D12" s="34"/>
      <c r="N12" s="55"/>
    </row>
    <row r="13" spans="1:14">
      <c r="B13" s="103" t="s">
        <v>74</v>
      </c>
      <c r="C13" s="86">
        <f>-(2*C2*C10/1000+1/C8)</f>
        <v>-2.941418069493585E-2</v>
      </c>
      <c r="D13" s="34"/>
    </row>
    <row r="14" spans="1:14">
      <c r="B14" s="103" t="s">
        <v>75</v>
      </c>
      <c r="C14" s="86">
        <f>C3/1000</f>
        <v>1.9757894327547008E-2</v>
      </c>
    </row>
    <row r="15" spans="1:14">
      <c r="B15" s="53"/>
      <c r="C15" s="54"/>
    </row>
    <row r="16" spans="1:14">
      <c r="B16" s="44" t="s">
        <v>68</v>
      </c>
      <c r="C16" s="38">
        <f>(-C13-SQRT(C13*C13-4*C12*C14))/2/C12</f>
        <v>1.0618904886866076</v>
      </c>
      <c r="D16" s="34" t="s">
        <v>51</v>
      </c>
      <c r="E16" t="s">
        <v>98</v>
      </c>
    </row>
    <row r="17" spans="1:7">
      <c r="B17" s="44" t="s">
        <v>69</v>
      </c>
      <c r="C17" s="38">
        <f>C16/C8*1000</f>
        <v>1.1177794617753765</v>
      </c>
      <c r="D17" s="34" t="s">
        <v>52</v>
      </c>
      <c r="E17" t="s">
        <v>158</v>
      </c>
    </row>
    <row r="19" spans="1:7">
      <c r="A19" t="s">
        <v>198</v>
      </c>
      <c r="B19" s="23" t="s">
        <v>56</v>
      </c>
      <c r="C19" s="30">
        <f>1000*(C4-C5-1.5)/C17</f>
        <v>21023.825185224639</v>
      </c>
      <c r="D19" s="23" t="s">
        <v>57</v>
      </c>
      <c r="E19" t="s">
        <v>168</v>
      </c>
      <c r="F19" s="20"/>
      <c r="G19" s="20"/>
    </row>
    <row r="21" spans="1:7">
      <c r="A21" t="s">
        <v>196</v>
      </c>
      <c r="B21" s="49" t="s">
        <v>59</v>
      </c>
      <c r="C21" s="104">
        <v>3320</v>
      </c>
      <c r="D21" s="49" t="s">
        <v>57</v>
      </c>
      <c r="E21" t="s">
        <v>101</v>
      </c>
    </row>
    <row r="22" spans="1:7">
      <c r="B22" t="s">
        <v>97</v>
      </c>
      <c r="C22" s="58">
        <f>1000*(C5+C16)/C21</f>
        <v>3.3318947255080142</v>
      </c>
      <c r="D22" t="s">
        <v>52</v>
      </c>
    </row>
    <row r="23" spans="1:7">
      <c r="C23" s="27"/>
      <c r="E23" s="19"/>
      <c r="F23" s="20"/>
      <c r="G23" s="20"/>
    </row>
    <row r="24" spans="1:7">
      <c r="B24" s="39" t="s">
        <v>60</v>
      </c>
      <c r="C24" s="40">
        <f>0.0484*2</f>
        <v>9.6799999999999997E-2</v>
      </c>
      <c r="D24" s="39" t="s">
        <v>61</v>
      </c>
    </row>
    <row r="25" spans="1:7">
      <c r="A25" t="s">
        <v>64</v>
      </c>
      <c r="B25" s="41" t="s">
        <v>62</v>
      </c>
      <c r="C25" s="42">
        <f>C24/C6*1000000</f>
        <v>203.78947368421052</v>
      </c>
      <c r="D25" s="41" t="s">
        <v>63</v>
      </c>
    </row>
    <row r="26" spans="1:7">
      <c r="B26" s="39"/>
      <c r="C26" s="40"/>
      <c r="D26" s="39"/>
    </row>
    <row r="27" spans="1:7">
      <c r="B27" s="39" t="s">
        <v>65</v>
      </c>
      <c r="C27" s="59">
        <f>2*SQRT(C3*C17)/C2</f>
        <v>6.7458655644585201</v>
      </c>
      <c r="D27" s="39" t="s">
        <v>66</v>
      </c>
      <c r="E27" t="s">
        <v>96</v>
      </c>
    </row>
    <row r="28" spans="1:7">
      <c r="B28" s="39" t="s">
        <v>162</v>
      </c>
      <c r="C28" s="26">
        <v>50000</v>
      </c>
      <c r="D28" s="39" t="s">
        <v>57</v>
      </c>
      <c r="E28" t="s">
        <v>165</v>
      </c>
    </row>
    <row r="29" spans="1:7">
      <c r="B29" s="39" t="s">
        <v>173</v>
      </c>
      <c r="C29" s="27">
        <f>1/(1/C19+1/C28)</f>
        <v>14800.544134588732</v>
      </c>
      <c r="D29" s="39" t="s">
        <v>57</v>
      </c>
    </row>
    <row r="30" spans="1:7">
      <c r="B30" s="39" t="s">
        <v>113</v>
      </c>
      <c r="C30" s="43">
        <f>(C27*C29/1000)</f>
        <v>99.842481012770662</v>
      </c>
      <c r="D30" s="39"/>
      <c r="E30" t="s">
        <v>166</v>
      </c>
    </row>
    <row r="31" spans="1:7">
      <c r="B31" s="39" t="s">
        <v>74</v>
      </c>
      <c r="C31" s="26">
        <f>C7/C19</f>
        <v>2.2593414652906544E-2</v>
      </c>
      <c r="E31" t="s">
        <v>167</v>
      </c>
    </row>
    <row r="33" spans="2:5">
      <c r="B33" s="41" t="s">
        <v>164</v>
      </c>
      <c r="C33" s="42">
        <f>2*20*LOG(C30)-23</f>
        <v>56.972614574931512</v>
      </c>
      <c r="D33" s="41" t="s">
        <v>67</v>
      </c>
      <c r="E33" t="s">
        <v>104</v>
      </c>
    </row>
    <row r="34" spans="2:5">
      <c r="B34" t="s">
        <v>163</v>
      </c>
      <c r="C34" s="27">
        <f>2*20*LOG(C30/(1+C30*C31))-23</f>
        <v>36.466398803439418</v>
      </c>
      <c r="D34" t="s">
        <v>67</v>
      </c>
      <c r="E34" t="s">
        <v>103</v>
      </c>
    </row>
    <row r="36" spans="2:5">
      <c r="B36" t="s">
        <v>106</v>
      </c>
      <c r="C36" s="27">
        <f>(C17+C22)*3+5</f>
        <v>18.34902256185017</v>
      </c>
      <c r="D36" t="s">
        <v>52</v>
      </c>
      <c r="E36" t="s">
        <v>99</v>
      </c>
    </row>
    <row r="37" spans="2:5">
      <c r="B37" t="s">
        <v>203</v>
      </c>
      <c r="C37" s="27">
        <f>630/C36</f>
        <v>34.334253929680479</v>
      </c>
      <c r="D37" t="s">
        <v>57</v>
      </c>
      <c r="E37" t="s">
        <v>130</v>
      </c>
    </row>
    <row r="38" spans="2:5">
      <c r="C38"/>
    </row>
    <row r="39" spans="2:5">
      <c r="C39"/>
    </row>
    <row r="40" spans="2:5">
      <c r="C40"/>
    </row>
    <row r="41" spans="2:5">
      <c r="C41"/>
    </row>
    <row r="42" spans="2:5">
      <c r="C42"/>
    </row>
    <row r="43" spans="2:5">
      <c r="C43"/>
    </row>
    <row r="44" spans="2:5">
      <c r="C44"/>
    </row>
    <row r="45" spans="2:5">
      <c r="C45"/>
    </row>
    <row r="46" spans="2:5">
      <c r="C46"/>
    </row>
    <row r="47" spans="2:5">
      <c r="C47"/>
    </row>
    <row r="48" spans="2:5">
      <c r="C48"/>
    </row>
    <row r="49" spans="3:3">
      <c r="C49"/>
    </row>
    <row r="50" spans="3:3">
      <c r="C50"/>
    </row>
    <row r="51" spans="3:3">
      <c r="C51"/>
    </row>
    <row r="52" spans="3:3">
      <c r="C52"/>
    </row>
    <row r="53" spans="3:3">
      <c r="C53"/>
    </row>
    <row r="54" spans="3:3">
      <c r="C54"/>
    </row>
    <row r="55" spans="3:3">
      <c r="C55"/>
    </row>
    <row r="56" spans="3:3">
      <c r="C56"/>
    </row>
    <row r="57" spans="3:3">
      <c r="C57"/>
    </row>
    <row r="58" spans="3:3">
      <c r="C58"/>
    </row>
    <row r="59" spans="3:3">
      <c r="C59"/>
    </row>
    <row r="60" spans="3:3">
      <c r="C60"/>
    </row>
  </sheetData>
  <pageMargins left="0.7" right="0.7" top="0.75" bottom="0.75" header="0.3" footer="0.3"/>
  <pageSetup paperSize="11"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B7" sqref="B7"/>
    </sheetView>
  </sheetViews>
  <sheetFormatPr defaultRowHeight="14.25"/>
  <cols>
    <col min="1" max="1" width="9.59765625" customWidth="1"/>
    <col min="2" max="2" width="24" bestFit="1" customWidth="1"/>
    <col min="3" max="3" width="9.59765625" style="26" customWidth="1"/>
    <col min="4" max="4" width="9.59765625" customWidth="1"/>
    <col min="5" max="5" width="13.59765625" bestFit="1" customWidth="1"/>
    <col min="6" max="6" width="18" bestFit="1" customWidth="1"/>
    <col min="7" max="7" width="13.73046875" bestFit="1" customWidth="1"/>
    <col min="8" max="8" width="13.3984375" bestFit="1" customWidth="1"/>
    <col min="9" max="9" width="18.73046875" bestFit="1" customWidth="1"/>
    <col min="10" max="11" width="9.59765625" customWidth="1"/>
    <col min="12" max="12" width="13.59765625" style="26" bestFit="1" customWidth="1"/>
    <col min="13" max="13" width="16.73046875" bestFit="1" customWidth="1"/>
    <col min="14" max="14" width="9.59765625" customWidth="1"/>
    <col min="15" max="15" width="11.73046875" bestFit="1" customWidth="1"/>
    <col min="16" max="17" width="9.59765625" customWidth="1"/>
  </cols>
  <sheetData>
    <row r="1" spans="1:17">
      <c r="L1"/>
    </row>
    <row r="2" spans="1:17">
      <c r="L2" s="52"/>
      <c r="M2" s="51"/>
      <c r="N2" s="51"/>
      <c r="O2" s="51"/>
    </row>
    <row r="3" spans="1:17">
      <c r="A3" s="68"/>
      <c r="B3" s="46" t="s">
        <v>53</v>
      </c>
      <c r="C3" s="105">
        <f>'2. calculate R_drain'!C2</f>
        <v>1.3932873868591849</v>
      </c>
      <c r="D3" s="46" t="s">
        <v>51</v>
      </c>
      <c r="J3" s="35"/>
    </row>
    <row r="4" spans="1:17">
      <c r="B4" s="66" t="s">
        <v>110</v>
      </c>
      <c r="C4" s="67">
        <f>'2. calculate R_drain'!C19/1000</f>
        <v>21.023825185224638</v>
      </c>
      <c r="D4" s="66" t="s">
        <v>102</v>
      </c>
      <c r="F4" s="35" t="s">
        <v>3</v>
      </c>
      <c r="G4" s="35"/>
      <c r="H4" s="35"/>
      <c r="I4" s="35"/>
    </row>
    <row r="5" spans="1:17">
      <c r="F5" s="22"/>
      <c r="G5" s="22"/>
      <c r="H5" s="22"/>
      <c r="I5" s="35"/>
    </row>
    <row r="6" spans="1:17">
      <c r="B6" s="72" t="s">
        <v>111</v>
      </c>
      <c r="C6" s="73">
        <f ca="1">INDIRECT(ADDRESS(MATCH(C4,H14:H25,-1)+ROW(H14),COLUMN(E14)))</f>
        <v>20</v>
      </c>
      <c r="D6" s="72" t="s">
        <v>102</v>
      </c>
      <c r="E6" s="69" t="s">
        <v>112</v>
      </c>
      <c r="F6" s="70" t="str">
        <f ca="1">INDIRECT(ADDRESS(MATCH(C4,H14:H25,-1)+ROW(H14),COLUMN(F14)))</f>
        <v>660-MF1/4DC2002F</v>
      </c>
      <c r="G6" s="35"/>
      <c r="H6" s="35"/>
      <c r="I6" s="35"/>
    </row>
    <row r="7" spans="1:17">
      <c r="B7" s="22"/>
      <c r="C7" s="40"/>
    </row>
    <row r="11" spans="1:17">
      <c r="D11" s="35"/>
      <c r="E11" s="52"/>
      <c r="F11" s="51"/>
      <c r="G11" s="51"/>
      <c r="I11" s="26"/>
    </row>
    <row r="12" spans="1:17">
      <c r="D12" s="107" t="s">
        <v>53</v>
      </c>
      <c r="E12" s="108" t="s">
        <v>199</v>
      </c>
      <c r="F12" s="61"/>
      <c r="G12" s="81"/>
      <c r="H12" s="82" t="s">
        <v>133</v>
      </c>
      <c r="I12" s="26"/>
    </row>
    <row r="13" spans="1:17" ht="14.65" thickBot="1">
      <c r="D13" s="60" t="s">
        <v>51</v>
      </c>
      <c r="E13" s="60" t="s">
        <v>102</v>
      </c>
      <c r="F13" s="60" t="s">
        <v>109</v>
      </c>
      <c r="G13" s="81"/>
      <c r="H13" s="21"/>
      <c r="I13" s="26"/>
    </row>
    <row r="14" spans="1:17">
      <c r="D14" s="28"/>
      <c r="E14" s="83"/>
      <c r="F14" s="83"/>
      <c r="G14" s="81"/>
      <c r="H14" s="85">
        <v>1000</v>
      </c>
      <c r="I14" s="26"/>
    </row>
    <row r="15" spans="1:17">
      <c r="D15" s="28"/>
      <c r="E15" s="100" t="s">
        <v>132</v>
      </c>
      <c r="F15" s="100" t="s">
        <v>132</v>
      </c>
      <c r="G15" s="21"/>
      <c r="H15" s="85">
        <v>32</v>
      </c>
      <c r="I15" s="26"/>
      <c r="Q15" s="51"/>
    </row>
    <row r="16" spans="1:17">
      <c r="B16" s="51"/>
      <c r="C16" s="52"/>
      <c r="D16" s="28"/>
      <c r="E16" s="84">
        <v>28.4</v>
      </c>
      <c r="F16" s="84" t="s">
        <v>135</v>
      </c>
      <c r="G16" s="21"/>
      <c r="H16" s="85">
        <v>26.65</v>
      </c>
      <c r="I16" s="28"/>
      <c r="M16" s="21"/>
      <c r="N16" s="21"/>
      <c r="P16" s="51"/>
      <c r="Q16" s="51"/>
    </row>
    <row r="17" spans="4:17" s="51" customFormat="1">
      <c r="D17" s="28"/>
      <c r="E17" s="84">
        <v>24.9</v>
      </c>
      <c r="F17" s="84" t="s">
        <v>136</v>
      </c>
      <c r="G17" s="21"/>
      <c r="H17" s="85">
        <v>23.5</v>
      </c>
      <c r="I17" s="28"/>
      <c r="M17" s="21"/>
      <c r="N17"/>
      <c r="O17"/>
    </row>
    <row r="18" spans="4:17" s="51" customFormat="1">
      <c r="D18" s="110" t="s">
        <v>169</v>
      </c>
      <c r="E18" s="111">
        <v>22.1</v>
      </c>
      <c r="F18" s="111" t="s">
        <v>14</v>
      </c>
      <c r="G18" s="21"/>
      <c r="H18" s="85">
        <v>21.05</v>
      </c>
      <c r="I18" s="106"/>
      <c r="M18" s="21"/>
      <c r="O18"/>
    </row>
    <row r="19" spans="4:17" s="51" customFormat="1">
      <c r="D19" s="110" t="s">
        <v>170</v>
      </c>
      <c r="E19" s="111">
        <v>20</v>
      </c>
      <c r="F19" s="111" t="s">
        <v>137</v>
      </c>
      <c r="G19" s="21"/>
      <c r="H19" s="85">
        <v>19.100000000000001</v>
      </c>
      <c r="I19" s="106"/>
      <c r="M19" s="84"/>
      <c r="O19"/>
      <c r="P19"/>
      <c r="Q19"/>
    </row>
    <row r="20" spans="4:17" s="51" customFormat="1">
      <c r="D20" s="110" t="s">
        <v>171</v>
      </c>
      <c r="E20" s="111">
        <v>18.2</v>
      </c>
      <c r="F20" s="111" t="s">
        <v>138</v>
      </c>
      <c r="G20" s="21"/>
      <c r="H20" s="85">
        <v>17.549999999999997</v>
      </c>
      <c r="I20" s="106"/>
      <c r="M20" s="84"/>
      <c r="O20"/>
      <c r="P20"/>
      <c r="Q20"/>
    </row>
    <row r="21" spans="4:17" s="51" customFormat="1">
      <c r="D21" s="110" t="s">
        <v>172</v>
      </c>
      <c r="E21" s="111">
        <v>16.899999999999999</v>
      </c>
      <c r="F21" s="111" t="s">
        <v>139</v>
      </c>
      <c r="G21" s="21"/>
      <c r="H21" s="85">
        <v>16.350000000000001</v>
      </c>
      <c r="I21" s="106"/>
      <c r="M21" s="84"/>
      <c r="O21"/>
      <c r="P21"/>
      <c r="Q21"/>
    </row>
    <row r="22" spans="4:17" s="51" customFormat="1">
      <c r="D22" s="28"/>
      <c r="E22" s="84">
        <v>15.8</v>
      </c>
      <c r="F22" s="84" t="s">
        <v>140</v>
      </c>
      <c r="G22" s="21"/>
      <c r="H22" s="85">
        <v>15.25</v>
      </c>
      <c r="I22" s="106"/>
      <c r="M22" s="84"/>
      <c r="O22"/>
      <c r="P22"/>
      <c r="Q22"/>
    </row>
    <row r="23" spans="4:17" s="51" customFormat="1">
      <c r="D23" s="28"/>
      <c r="E23" s="79">
        <v>14.7</v>
      </c>
      <c r="F23" s="84" t="s">
        <v>141</v>
      </c>
      <c r="G23" s="21"/>
      <c r="H23" s="85">
        <v>14.2</v>
      </c>
      <c r="I23" s="28"/>
      <c r="M23" s="28"/>
      <c r="N23" s="28"/>
      <c r="O23"/>
      <c r="P23"/>
      <c r="Q23"/>
    </row>
    <row r="24" spans="4:17" s="51" customFormat="1">
      <c r="D24" s="28"/>
      <c r="E24" s="79">
        <v>13.7</v>
      </c>
      <c r="F24" s="84" t="s">
        <v>142</v>
      </c>
      <c r="G24" s="21"/>
      <c r="H24" s="82">
        <v>13.2</v>
      </c>
      <c r="I24" s="28"/>
      <c r="M24" s="28"/>
      <c r="N24" s="28"/>
      <c r="O24"/>
      <c r="P24"/>
      <c r="Q24"/>
    </row>
    <row r="25" spans="4:17" s="51" customFormat="1" ht="14.65" thickBot="1">
      <c r="D25" s="109"/>
      <c r="E25" s="80" t="s">
        <v>132</v>
      </c>
      <c r="F25" s="80" t="s">
        <v>132</v>
      </c>
      <c r="G25" s="21"/>
      <c r="H25" s="86">
        <v>0</v>
      </c>
      <c r="I25" s="28"/>
      <c r="M25" s="28"/>
      <c r="N25" s="28"/>
      <c r="O25"/>
      <c r="P25"/>
      <c r="Q25"/>
    </row>
    <row r="26" spans="4:17" s="51" customFormat="1">
      <c r="L26" s="28"/>
      <c r="M26" s="28"/>
      <c r="N26" s="28"/>
      <c r="O26"/>
      <c r="P26"/>
      <c r="Q26"/>
    </row>
    <row r="27" spans="4:17" s="51" customFormat="1">
      <c r="D27"/>
      <c r="E27"/>
      <c r="F27"/>
      <c r="G27"/>
      <c r="H27"/>
      <c r="I27"/>
      <c r="L27" s="26"/>
      <c r="M27" s="28"/>
      <c r="N27" s="28"/>
      <c r="O27"/>
      <c r="P27"/>
      <c r="Q27"/>
    </row>
  </sheetData>
  <sortState ref="L22:O30">
    <sortCondition descending="1" ref="L22:L30"/>
  </sortState>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B4" sqref="B4"/>
    </sheetView>
  </sheetViews>
  <sheetFormatPr defaultRowHeight="14.25"/>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zoomScaleNormal="100" workbookViewId="0">
      <selection activeCell="P21" sqref="P21"/>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vt:lpstr>
      <vt:lpstr>Board</vt:lpstr>
      <vt:lpstr>Schematic</vt:lpstr>
      <vt:lpstr>BOM</vt:lpstr>
      <vt:lpstr>1. measure your FET</vt:lpstr>
      <vt:lpstr>2. calculate R_drain</vt:lpstr>
      <vt:lpstr>3. choose R_drain</vt:lpstr>
      <vt:lpstr>Response</vt:lpstr>
      <vt:lpstr>Notes</vt:lpstr>
      <vt:lpstr>BOM!Print_Area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2016-07-07T08:31:06Z</dcterms:modified>
  <cp:category/>
  <cp:contentStatus/>
</cp:coreProperties>
</file>